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ancials" sheetId="2" state="visible" r:id="rId2"/>
    <sheet xmlns:r="http://schemas.openxmlformats.org/officeDocument/2006/relationships" name="Valuation" sheetId="3" state="visible" r:id="rId3"/>
    <sheet xmlns:r="http://schemas.openxmlformats.org/officeDocument/2006/relationships" name="Estimates" sheetId="4" state="visible" r:id="rId4"/>
    <sheet xmlns:r="http://schemas.openxmlformats.org/officeDocument/2006/relationships" name="Scenarios" sheetId="5" state="visible" r:id="rId5"/>
    <sheet xmlns:r="http://schemas.openxmlformats.org/officeDocument/2006/relationships" name="Sensitivity" sheetId="6" state="visible" r:id="rId6"/>
    <sheet xmlns:r="http://schemas.openxmlformats.org/officeDocument/2006/relationships" name="Checks" sheetId="7" state="visible" r:id="rId7"/>
  </sheets>
  <definedNames/>
  <calcPr calcId="124519" fullCalcOnLoad="1"/>
</workbook>
</file>

<file path=xl/styles.xml><?xml version="1.0" encoding="utf-8"?>
<styleSheet xmlns="http://schemas.openxmlformats.org/spreadsheetml/2006/main">
  <numFmts count="7">
    <numFmt numFmtId="164" formatCode="$#,##0.00"/>
    <numFmt numFmtId="165" formatCode="#,##0.0;(#,##0.0)"/>
    <numFmt numFmtId="166" formatCode="#,##0.000"/>
    <numFmt numFmtId="167" formatCode="0.0%"/>
    <numFmt numFmtId="168" formatCode="0.0000"/>
    <numFmt numFmtId="169" formatCode="0.00&quot;x&quot;"/>
    <numFmt numFmtId="170" formatCode="#,##0.00000000"/>
  </numFmts>
  <fonts count="9">
    <font>
      <name val="Calibri"/>
      <family val="2"/>
      <color theme="1"/>
      <sz val="11"/>
      <scheme val="minor"/>
    </font>
    <font>
      <b val="1"/>
      <color rgb="00FFFFFF"/>
      <sz val="13"/>
    </font>
    <font>
      <b val="1"/>
    </font>
    <font>
      <i val="1"/>
      <color rgb="00666666"/>
      <sz val="9"/>
    </font>
    <font>
      <color rgb="000000CC"/>
    </font>
    <font>
      <i val="1"/>
      <color rgb="00404040"/>
    </font>
    <font>
      <b val="1"/>
      <i val="1"/>
      <color rgb="00404040"/>
    </font>
    <font>
      <color rgb="00000000"/>
    </font>
    <font/>
  </fonts>
  <fills count="5">
    <fill>
      <patternFill/>
    </fill>
    <fill>
      <patternFill patternType="gray125"/>
    </fill>
    <fill>
      <patternFill patternType="solid">
        <fgColor rgb="001F3864"/>
      </patternFill>
    </fill>
    <fill>
      <patternFill patternType="solid">
        <fgColor rgb="00D9E1F2"/>
      </patternFill>
    </fill>
    <fill>
      <patternFill patternType="solid">
        <fgColor rgb="00FFF2CC"/>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45">
    <xf numFmtId="0" fontId="0" fillId="0" borderId="0" pivotButton="0" quotePrefix="0" xfId="0"/>
    <xf numFmtId="0" fontId="1" fillId="2" borderId="0" applyAlignment="1" pivotButton="0" quotePrefix="0" xfId="0">
      <alignment horizontal="centerContinuous" vertical="center"/>
    </xf>
    <xf numFmtId="0" fontId="0" fillId="2" borderId="0" applyAlignment="1" pivotButton="0" quotePrefix="0" xfId="0">
      <alignment horizontal="centerContinuous" vertical="center"/>
    </xf>
    <xf numFmtId="0" fontId="2" fillId="3" borderId="0" pivotButton="0" quotePrefix="0" xfId="0"/>
    <xf numFmtId="0" fontId="0" fillId="3" borderId="0" pivotButton="0" quotePrefix="0" xfId="0"/>
    <xf numFmtId="0" fontId="2" fillId="0" borderId="0" pivotButton="0" quotePrefix="0" xfId="0"/>
    <xf numFmtId="164" fontId="2" fillId="3" borderId="0" pivotButton="0" quotePrefix="0" xfId="0"/>
    <xf numFmtId="0" fontId="3" fillId="0" borderId="0" pivotButton="0" quotePrefix="0" xfId="0"/>
    <xf numFmtId="0" fontId="0" fillId="0" borderId="0" applyAlignment="1" pivotButton="0" quotePrefix="0" xfId="0">
      <alignment horizontal="right"/>
    </xf>
    <xf numFmtId="164" fontId="4" fillId="4" borderId="1" pivotButton="0" quotePrefix="0" xfId="0"/>
    <xf numFmtId="169" fontId="2" fillId="0" borderId="0" pivotButton="0" quotePrefix="0" xfId="0"/>
    <xf numFmtId="167" fontId="7" fillId="0" borderId="0" pivotButton="0" quotePrefix="0" xfId="0"/>
    <xf numFmtId="165" fontId="2" fillId="0" borderId="0" pivotButton="0" quotePrefix="0" xfId="0"/>
    <xf numFmtId="165" fontId="4" fillId="4" borderId="1" pivotButton="0" quotePrefix="0" xfId="0"/>
    <xf numFmtId="165" fontId="2" fillId="3" borderId="0" pivotButton="0" quotePrefix="0" xfId="0"/>
    <xf numFmtId="166" fontId="4" fillId="4" borderId="1" pivotButton="0" quotePrefix="0" xfId="0"/>
    <xf numFmtId="166" fontId="5" fillId="0" borderId="0" pivotButton="0" quotePrefix="0" xfId="0"/>
    <xf numFmtId="166" fontId="2" fillId="3" borderId="0" pivotButton="0" quotePrefix="0" xfId="0"/>
    <xf numFmtId="165" fontId="7" fillId="0" borderId="0" pivotButton="0" quotePrefix="0" xfId="0"/>
    <xf numFmtId="0" fontId="2" fillId="3" borderId="0" applyAlignment="1" pivotButton="0" quotePrefix="0" xfId="0">
      <alignment horizontal="right"/>
    </xf>
    <xf numFmtId="165" fontId="6" fillId="0" borderId="0" pivotButton="0" quotePrefix="0" xfId="0"/>
    <xf numFmtId="3" fontId="4" fillId="4" borderId="1" pivotButton="0" quotePrefix="0" xfId="0"/>
    <xf numFmtId="3" fontId="2" fillId="0" borderId="0" pivotButton="0" quotePrefix="0" xfId="0"/>
    <xf numFmtId="167" fontId="4" fillId="4" borderId="1" pivotButton="0" quotePrefix="0" xfId="0"/>
    <xf numFmtId="165" fontId="5" fillId="0" borderId="0" pivotButton="0" quotePrefix="0" xfId="0"/>
    <xf numFmtId="167" fontId="6" fillId="0" borderId="0" pivotButton="0" quotePrefix="0" xfId="0"/>
    <xf numFmtId="167" fontId="2" fillId="0" borderId="0" pivotButton="0" quotePrefix="0" xfId="0"/>
    <xf numFmtId="166" fontId="7" fillId="0" borderId="0" pivotButton="0" quotePrefix="0" xfId="0"/>
    <xf numFmtId="164" fontId="2" fillId="0" borderId="0" pivotButton="0" quotePrefix="0" xfId="0"/>
    <xf numFmtId="164" fontId="5" fillId="0" borderId="0" pivotButton="0" quotePrefix="0" xfId="0"/>
    <xf numFmtId="168" fontId="4" fillId="4" borderId="1" pivotButton="0" quotePrefix="0" xfId="0"/>
    <xf numFmtId="168" fontId="7" fillId="0" borderId="0" pivotButton="0" quotePrefix="0" xfId="0"/>
    <xf numFmtId="169" fontId="7" fillId="0" borderId="0" pivotButton="0" quotePrefix="0" xfId="0"/>
    <xf numFmtId="1" fontId="4" fillId="4" borderId="1" pivotButton="0" quotePrefix="0" xfId="0"/>
    <xf numFmtId="169" fontId="4" fillId="4" borderId="1" pivotButton="0" quotePrefix="0" xfId="0"/>
    <xf numFmtId="0" fontId="0" fillId="0" borderId="0" applyAlignment="1" pivotButton="0" quotePrefix="0" xfId="0">
      <alignment vertical="top" wrapText="1"/>
    </xf>
    <xf numFmtId="1" fontId="3" fillId="0" borderId="0" pivotButton="0" quotePrefix="0" xfId="0"/>
    <xf numFmtId="167" fontId="5" fillId="0" borderId="0" pivotButton="0" quotePrefix="0" xfId="0"/>
    <xf numFmtId="164" fontId="7" fillId="0" borderId="0" pivotButton="0" quotePrefix="0" xfId="0"/>
    <xf numFmtId="0" fontId="2" fillId="3" borderId="0" applyAlignment="1" pivotButton="0" quotePrefix="0" xfId="0">
      <alignment horizontal="right"/>
    </xf>
    <xf numFmtId="0" fontId="8" fillId="0" borderId="0" pivotButton="0" quotePrefix="0" xfId="0"/>
    <xf numFmtId="164" fontId="0" fillId="0" borderId="0" pivotButton="0" quotePrefix="0" xfId="0"/>
    <xf numFmtId="167" fontId="2" fillId="3" borderId="0" applyAlignment="1" pivotButton="0" quotePrefix="0" xfId="0">
      <alignment horizontal="right"/>
    </xf>
    <xf numFmtId="169" fontId="2" fillId="3" borderId="0" applyAlignment="1" pivotButton="0" quotePrefix="0" xfId="0">
      <alignment horizontal="right"/>
    </xf>
    <xf numFmtId="17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Nico Peng</author>
  </authors>
  <commentList>
    <comment ref="C5" authorId="0" shapeId="0">
      <text>
        <t>The two agree to five cents by construction, not by coincidence: B's exit multiple is derived as the multiple A's own flows after 2031 imply at that date, stored to one decimal (14.9 times for the 14.897 A implies), so it is the same path read two ways. What it is for is the comparison with what the market pays for the layer on its own far years, which the note makes in prose. The Checks tab asserts the derivation.</t>
      </text>
    </comment>
    <comment ref="B6" authorId="0" shapeId="0">
      <text>
        <t>The model of record's run is re-struck with the discount clock started at 2026-08-19, the note's date of record: its pinned builder run with the clock and the equity raise's share count moved there, and every other input as committed (record/PIN.md). The value date and the price date are the same day.</t>
      </text>
    </comment>
    <comment ref="B7" authorId="0" shapeId="0">
      <text>
        <t>The last close on or before the note's as-of date. The value date above is the same day, so the discounting and the price are struck together.</t>
      </text>
    </comment>
    <comment ref="B14" authorId="0" shapeId="0">
      <text>
        <t>The 10-Q at 2026-06-30: cash and equivalents plus restricted cash. The archive reads $508.758M from the filed balance sheet; the model of record carries $508.8M. The bridge is the six rows here and no seventh.</t>
      </text>
    </comment>
    <comment ref="B15" authorId="0" shapeId="0">
      <text>
        <t>Zero at this note's date of record. The model of record carries $48.2M here - the second program's 332,428 post-June shares at $49.2M gross, net of the 2% commission - but that sale is disclosed in a prospectus supplement filed after the date of record, and the Q2 10-Q discloses no post-quarter sale; any shares sold by 2026-08-03 are inside the outstanding count below.</t>
      </text>
    </comment>
    <comment ref="B16" authorId="0" shapeId="0">
      <text>
        <t>$600M gross less a 2% commission. This is the funding the second half's investment requires beyond the cash on hand - the balance sheet's cash and the half's $650M of capital spending meet before the year ends - taken as equity, which is the order this company has funded in. Its shares are counted below at the same close the price above is struck at.</t>
      </text>
    </comment>
    <comment ref="B17" authorId="0" shapeId="0">
      <text>
        <t>7.945 million shares at the $23.6956 exercise price. The shares are counted gross below and the cash is added here, rather than netting the two: the treasury method would hide the cash the company actually receives.</t>
      </text>
    </comment>
    <comment ref="B18" authorId="0" shapeId="0">
      <text>
        <t>Revolving lines of $58.9M at 2.3-3.2% and $33.9M of acceptances at 2026-06-30.</t>
      </text>
    </comment>
    <comment ref="B19" authorId="0" shapeId="0">
      <text>
        <t>$124.9M of principal converting at 23.0884 shares per $1,000 ($43.31 a share). Far above the conversion price these are shares and not debt; they are counted once, in the count, and the principal is not deducted here as well.</t>
      </text>
    </comment>
    <comment ref="B25" authorId="0" shapeId="0">
      <text>
        <t>The outstanding count as it was knowable on this note's date of record: 84,569,237 shares at 2026-08-03 on the cover of the Q2 10-Q (accession 0001437749-26-026278), the latest filed count before the date; the filed balance sheet at 2026-06-30 (archived at evidence/financials/) reads 84.386 million. The model of record's own count is the memo row beneath, and is 0.337 million higher: it is a count dated after this note's date of record, in a filing made after it, so the count is re-based here rather than carried, and no date is rendered beside it. The difference is worth about $0.79 a share.</t>
      </text>
    </comment>
    <comment ref="B26" authorId="0" shapeId="0">
      <text>
        <t>Shown so both counts are visible together. It is a memo and is not added into the count below - the row above it is what the valuation uses.</t>
      </text>
    </comment>
    <comment ref="B27" authorId="0" shapeId="0">
      <text>
        <t>$600M gross at the close on the Summary's own price row - 600 / 122.19 = 4.9104 million shares. Struck at the same close as the price, so the raise dilutes at the price a reader is comparing the value against rather than at some other day's. The proceeds are in the bridge above.</t>
      </text>
    </comment>
    <comment ref="B29" authorId="0" shapeId="0">
      <text>
        <t>1.324 million shares vested and 6.621 million vesting as the customer's cumulative purchases pass $4 billion, which they do on this path. Counted gross, with the exercise cash in the bridge.</t>
      </text>
    </comment>
    <comment ref="B30" authorId="0" shapeId="0">
      <text>
        <t>1.72 million units outstanding and about 0.45 million a year of grants over the window, gross - no netting for withholding. Stock compensation is charged ONCE, here in the count; the operating expense rows on the Financials sheet are cash and exclude it, so the same cost is never charged twice.</t>
      </text>
    </comment>
    <comment ref="A39" authorId="0" shapeId="0">
      <text>
        <t>The module volumes by generation are rows here; no revenue line in this workbook is broken out by generation, so no per-module price can be divided out of it. The data-center revenue line is the company's own reported segment - every generation together - and the price per module is a customer's price that no house publishes. The note states what it assumes about the price curve once, in its prose, with the chain in the research record.</t>
      </text>
    </comment>
  </commentList>
</comments>
</file>

<file path=xl/comments/comment2.xml><?xml version="1.0" encoding="utf-8"?>
<comments xmlns="http://schemas.openxmlformats.org/spreadsheetml/2006/main">
  <authors>
    <author>Nico Peng</author>
  </authors>
  <commentList>
    <comment ref="F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G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H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I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J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K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L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M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N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O9" authorId="0" shapeId="0">
      <text>
        <t>The model of record's own data-center transceiver revenue for this period: the segment whole, as the company reports it - 800G, 1.6T, the legacy 100G and 400G book, and the node after 1.6T, together. The record splits it four ways internally and this workbook does not, because a per-generation revenue line beside the volume rows beneath would let a reader divide out a per-module price. The chain is in the research record's valuation section; this workbook re-derives nothing.</t>
      </text>
    </comment>
    <comment ref="F10" authorId="0" shapeId="0">
      <text>
        <t>The model of record's own external lasers and elsfp line for this period. Its chain is in the research record's valuation section; this workbook re-derives nothing.</t>
      </text>
    </comment>
    <comment ref="G10" authorId="0" shapeId="0">
      <text>
        <t>The model of record's own external lasers and elsfp line for this period. Its chain is in the research record's valuation section; this workbook re-derives nothing.</t>
      </text>
    </comment>
    <comment ref="H10" authorId="0" shapeId="0">
      <text>
        <t>The model of record's own external lasers and elsfp line for this period. Its chain is in the research record's valuation section; this workbook re-derives nothing.</t>
      </text>
    </comment>
    <comment ref="I10" authorId="0" shapeId="0">
      <text>
        <t>The model of record's own external lasers and elsfp line for this period. Its chain is in the research record's valuation section; this workbook re-derives nothing.</t>
      </text>
    </comment>
    <comment ref="J10" authorId="0" shapeId="0">
      <text>
        <t>The model of record's own external lasers and elsfp line for this period. Its chain is in the research record's valuation section; this workbook re-derives nothing.</t>
      </text>
    </comment>
    <comment ref="K10" authorId="0" shapeId="0">
      <text>
        <t>The model of record's own external lasers and elsfp line for this period. Its chain is in the research record's valuation section; this workbook re-derives nothing.</t>
      </text>
    </comment>
    <comment ref="L10" authorId="0" shapeId="0">
      <text>
        <t>The model of record's own external lasers and elsfp line for this period. Its chain is in the research record's valuation section; this workbook re-derives nothing.</t>
      </text>
    </comment>
    <comment ref="M10" authorId="0" shapeId="0">
      <text>
        <t>The model of record's own external lasers and elsfp line for this period. Its chain is in the research record's valuation section; this workbook re-derives nothing.</t>
      </text>
    </comment>
    <comment ref="N10" authorId="0" shapeId="0">
      <text>
        <t>The model of record's own external lasers and elsfp line for this period. Its chain is in the research record's valuation section; this workbook re-derives nothing.</t>
      </text>
    </comment>
    <comment ref="O10" authorId="0" shapeId="0">
      <text>
        <t>The model of record's own external lasers and elsfp line for this period. Its chain is in the research record's valuation section; this workbook re-derives nothing.</t>
      </text>
    </comment>
    <comment ref="F11" authorId="0" shapeId="0">
      <text>
        <t>The model of record's own catv line for this period. Its chain is in the research record's valuation section; this workbook re-derives nothing.</t>
      </text>
    </comment>
    <comment ref="G11" authorId="0" shapeId="0">
      <text>
        <t>The model of record's own catv line for this period. Its chain is in the research record's valuation section; this workbook re-derives nothing.</t>
      </text>
    </comment>
    <comment ref="H11" authorId="0" shapeId="0">
      <text>
        <t>The model of record's own catv line for this period. Its chain is in the research record's valuation section; this workbook re-derives nothing.</t>
      </text>
    </comment>
    <comment ref="I11" authorId="0" shapeId="0">
      <text>
        <t>The model of record's own catv line for this period. Its chain is in the research record's valuation section; this workbook re-derives nothing.</t>
      </text>
    </comment>
    <comment ref="J11" authorId="0" shapeId="0">
      <text>
        <t>The model of record's own catv line for this period. Its chain is in the research record's valuation section; this workbook re-derives nothing.</t>
      </text>
    </comment>
    <comment ref="K11" authorId="0" shapeId="0">
      <text>
        <t>The model of record's own catv line for this period. Its chain is in the research record's valuation section; this workbook re-derives nothing.</t>
      </text>
    </comment>
    <comment ref="L11" authorId="0" shapeId="0">
      <text>
        <t>The model of record's own catv line for this period. Its chain is in the research record's valuation section; this workbook re-derives nothing.</t>
      </text>
    </comment>
    <comment ref="M11" authorId="0" shapeId="0">
      <text>
        <t>The model of record's own catv line for this period. Its chain is in the research record's valuation section; this workbook re-derives nothing.</t>
      </text>
    </comment>
    <comment ref="N11" authorId="0" shapeId="0">
      <text>
        <t>The model of record's own catv line for this period. Its chain is in the research record's valuation section; this workbook re-derives nothing.</t>
      </text>
    </comment>
    <comment ref="O11" authorId="0" shapeId="0">
      <text>
        <t>The model of record's own catv line for this period. Its chain is in the research record's valuation section; this workbook re-derives nothing.</t>
      </text>
    </comment>
    <comment ref="F12" authorId="0" shapeId="0">
      <text>
        <t>The model of record's own telecom, ftth and other line for this period. Its chain is in the research record's valuation section; this workbook re-derives nothing.</t>
      </text>
    </comment>
    <comment ref="G12" authorId="0" shapeId="0">
      <text>
        <t>The model of record's own telecom, ftth and other line for this period. Its chain is in the research record's valuation section; this workbook re-derives nothing.</t>
      </text>
    </comment>
    <comment ref="H12" authorId="0" shapeId="0">
      <text>
        <t>The model of record's own telecom, ftth and other line for this period. Its chain is in the research record's valuation section; this workbook re-derives nothing.</t>
      </text>
    </comment>
    <comment ref="I12" authorId="0" shapeId="0">
      <text>
        <t>The model of record's own telecom, ftth and other line for this period. Its chain is in the research record's valuation section; this workbook re-derives nothing.</t>
      </text>
    </comment>
    <comment ref="J12" authorId="0" shapeId="0">
      <text>
        <t>The model of record's own telecom, ftth and other line for this period. Its chain is in the research record's valuation section; this workbook re-derives nothing.</t>
      </text>
    </comment>
    <comment ref="K12" authorId="0" shapeId="0">
      <text>
        <t>The model of record's own telecom, ftth and other line for this period. Its chain is in the research record's valuation section; this workbook re-derives nothing.</t>
      </text>
    </comment>
    <comment ref="L12" authorId="0" shapeId="0">
      <text>
        <t>The model of record's own telecom, ftth and other line for this period. Its chain is in the research record's valuation section; this workbook re-derives nothing.</t>
      </text>
    </comment>
    <comment ref="M12" authorId="0" shapeId="0">
      <text>
        <t>The model of record's own telecom, ftth and other line for this period. Its chain is in the research record's valuation section; this workbook re-derives nothing.</t>
      </text>
    </comment>
    <comment ref="N12" authorId="0" shapeId="0">
      <text>
        <t>The model of record's own telecom, ftth and other line for this period. Its chain is in the research record's valuation section; this workbook re-derives nothing.</t>
      </text>
    </comment>
    <comment ref="O12" authorId="0" shapeId="0">
      <text>
        <t>The model of record's own telecom, ftth and other line for this period. Its chain is in the research record's valuation section; this workbook re-derives nothing.</t>
      </text>
    </comment>
    <comment ref="E13" authorId="0" shapeId="0">
      <text>
        <t>The two filed quarters of 2026 added. The column beside it is the SECOND half, estimated - the two are not a year until they are added, which the block at the foot of this sheet does for revenue and says why it does it for nothing else.</t>
      </text>
    </comment>
    <comment ref="A18" authorId="0" shapeId="0">
      <text>
        <t>The module volumes by generation are rows here; no revenue line in this workbook is broken out by generation, so no per-module price can be divided out of it. The data-center revenue line is the company's own reported segment - every generation together - and the price per module is a customer's price that no house publishes. The note states what it assumes about the price curve once, in its prose, with the chain in the research record.</t>
      </text>
    </comment>
    <comment ref="F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G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H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I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J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K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L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M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N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O19"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F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G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H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I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J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K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L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M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N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O20" authorId="0" shapeId="0">
      <text>
        <t>The model of record's own shipped volume for this generation and period. There is no revenue line beside it for this generation - the revenue row above covers the data-center segment whole - so this volume divides into nothing that would give a per-module price.</t>
      </text>
    </comment>
    <comment ref="F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G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H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I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J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K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L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M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N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O24"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F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G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H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I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J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K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L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M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N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O25"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F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G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H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I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J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K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L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M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N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O26"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F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G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H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I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J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K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L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M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N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O27" authorId="0" shapeId="0">
      <text>
        <t>The cash gross margin the model of record carries for this line and period - BEFORE depreciation, which this model charges once, on its own row beneath EBITDA. Move it and the cost, the gross profit, the operating profit, the tax and the value all move with it.</t>
      </text>
    </comment>
    <comment ref="A35" authorId="0" shapeId="0">
      <text>
        <t>The filed line is not the row above it: the company charges manufacturing depreciation inside cost of revenue, and this model charges depreciation once, on its own row beneath EBITDA. The two bases meet again at operating profit, and the after-depreciation margin row below states them on one basis.</t>
      </text>
    </comment>
    <comment ref="A41" authorId="0" shapeId="0">
      <text>
        <t>The one row on which the filed years and the forecast years are on the same basis: the filed columns are gross profit over revenue as reported; the forecast columns are cash gross profit less ALL of the period's depreciation, over revenue, which charges more to cost than the company does and is therefore the conservative reading. This is the line the note's margin argument lives on - 30.0% for 2025 and 27.7% in the most recent filed quarter, against the thirties the forecast reaches as the mix turns.</t>
      </text>
    </comment>
    <comment ref="F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G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H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I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J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K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L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M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N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O44" authorId="0" shapeId="0">
      <text>
        <t>The model of record's own cash research and development for this period - the company's own cost base scaled for the contents of the ramp, not a ratio applied to revenue. The ratio row beneath is the output of these three, not their input.</t>
      </text>
    </comment>
    <comment ref="F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G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H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I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J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K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L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M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N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O45" authorId="0" shapeId="0">
      <text>
        <t>The model of record's own cash sales and marketing for this period - the company's own cost base scaled for the contents of the ramp, not a ratio applied to revenue. The ratio row beneath is the output of these three, not their input.</t>
      </text>
    </comment>
    <comment ref="F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G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H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I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J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K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L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M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N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O46" authorId="0" shapeId="0">
      <text>
        <t>The model of record's own cash general and administrative for this period - the company's own cost base scaled for the contents of the ramp, not a ratio applied to revenue. The ratio row beneath is the output of these three, not their input.</t>
      </text>
    </comment>
    <comment ref="A47" authorId="0" shapeId="0">
      <text>
        <t>The filed columns are total operating expenses as reported, which include the stock compensation inside them. The forecast columns are cash and exclude it: stock compensation is charged once, in the share count on the Summary sheet, and about $12 million a year of the costs the company reports as non-recurring sit inside the general and administrative row, because they recur.</t>
      </text>
    </comment>
    <comment ref="A51" authorId="0" shapeId="0">
      <text>
        <t>The filed years are operating income as reported plus the depreciation and amortisation the cash-flow statement carries. The filed half of 2026 is empty: the archived cash-flow statements are annual through FY2025 and the 2026 quarters' depreciation is not in them, so the half's EBITDA cannot be built without typing a figure, and it is left out rather than approximated.</t>
      </text>
    </comment>
    <comment ref="F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G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H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I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J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K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L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M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N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O52" authorId="0" shapeId="0">
      <text>
        <t>The model of record's depreciation: the filed asset lives at their mechanical midpoints - buildings 31 years within the filed 20 to 42, machinery 11 within the filed 2 to 20, a blended 7.11% a year - applied as each cohort of the capital programme enters service, on top of the existing run-rate.</t>
      </text>
    </comment>
    <comment ref="F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G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H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I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J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K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L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M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N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O55" authorId="0" shapeId="0">
      <text>
        <t>The model of record's blended cash-tax rate for this period, derived from the jurisdiction schedule on the company's own filed election: the United States at 21% on the Texas-made share of output, the laser line and the U.S. share of the cost base, on income after regular tax depreciation rather than expensing - the company states it does not intend to elect bonus depreciation - with the filed loss carryforwards used at the 80% limit; Taiwan at 20% and China at 15% this year and 25% after, each behind its own filed carryforward. The rate multiplies this column's own operating profit, so every scenario carries its own tax.</t>
      </text>
    </comment>
    <comment ref="A56" authorId="0" shapeId="0">
      <text>
        <t>The filed columns are the income tax expense as reported, which is a book charge on a loss-making company and is not comparable to the cash tax the forecast pays. The forecast rounds to the nearest $0.1M, which is the model of record's own convention.</t>
      </text>
    </comment>
    <comment ref="A57" authorId="0" shapeId="0">
      <text>
        <t>A DERIVED line, not a reported one: operating profit less cash tax, with NO interest income on the cash balance, no interest expense and no other non-operating item, and with stock compensation charged in the count rather than here. Against the vendors' normalized convention, which carries interest income and excludes stock compensation, it is a lower bound on two counts and a higher one on the third; the Estimates sheet names the difference. The filed years' own bottom line is the memo row beneath.</t>
      </text>
    </comment>
    <comment ref="A59" authorId="0" shapeId="0">
      <text>
        <t>The filed columns are the weighted-average diluted count as reported. The forecast columns are the count the valuation uses, held FLAT and gross: the outstanding shares, the equity raise, the convertible notes, the customer warrant and the unit awards. No further issuance is forecast; the count's parts are on the Summary sheet.</t>
      </text>
    </comment>
    <comment ref="A61" authorId="0" shapeId="0">
      <text>
        <t>The filed YEARS only. The filed half of 2026 is empty because per-share amounts are not additive across quarters - each quarter carries its own weighted-average count - and the company files no half-year figure, so adding the two quarters' reported figures would be a number nobody filed. The same reason leaves the diluted-share row's filed half empty.</t>
      </text>
    </comment>
    <comment ref="A64" authorId="0" shapeId="0">
      <text>
        <t>The filed columns are the cash-flow statement's purchases of property, plant and equipment plus its prepayments for equipment, which is the basis the forecast is on: this company prepays for tools on long lead times and the cash leaves when it leaves. The filed half of 2026 is empty because the archived cash-flow statements are annual through FY2025.</t>
      </text>
    </comment>
    <comment ref="F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G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H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I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J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K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L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M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N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O64" authorId="0" shapeId="0">
      <text>
        <t>The model of record's own capital spending for this period: the published capacity ladder completed, the laser fab's expansion and the second fab's tools on their stated lead times, then a maintenance-and-generation-turn rate of about 6% of revenue. It is not net of any customer funding.</t>
      </text>
    </comment>
    <comment ref="F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G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H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I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J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K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L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M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N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O65" authorId="0" shapeId="0">
      <text>
        <t>The model of record's working-capital ratio. The first forecast column's figure is not a ratio of a half-year: it sets the END-2026 balance at a fifth of the fourth quarter's annualised run-rate, expressed against the half's own revenue. The later years run down from 20% to 17% as the extended-terms receivable leaves the mix.</t>
      </text>
    </comment>
    <comment ref="B67" authorId="0" shapeId="0">
      <text>
        <t>Receivables plus inventories less payables at the balance-sheet date. The archive's own filed figures give $306.712M; the model of record carries $307.0M, and the Checks tab asserts the two agree within half a million.</t>
      </text>
    </comment>
    <comment ref="A68" authorId="0" shapeId="0">
      <text>
        <t>Receivables plus inventories less payables, off the face of the filed balance sheet at 2026-06-30 in the archive. The row above is the model of record's own figure and is what the first working-capital step runs off; the Checks tab asserts the two agree within half a million.</t>
      </text>
    </comment>
    <comment ref="A70" authorId="0" shapeId="0">
      <text>
        <t>Operating profit less cash tax, plus depreciation, less capital spending and the working-capital increase. ONE definition in every forecast column. The first column is the SECOND HALF of 2026 alone and is the first flow the valuation discounts.</t>
      </text>
    </comment>
    <comment ref="A73" authorId="0" shapeId="0">
      <text>
        <t>Read off the face of the statements archived at evidence/financials/, with its SOURCES.md. The Checks tab asserts that the filed columns above carry these figures, and that the archive's own components reproduce each of its own totals - revenue less cost of revenue is gross profit, gross profit less operating expense is operating income, and the three operating-expense lines sum to the filed total.</t>
      </text>
    </comment>
  </commentList>
</comments>
</file>

<file path=xl/comments/comment3.xml><?xml version="1.0" encoding="utf-8"?>
<comments xmlns="http://schemas.openxmlformats.org/spreadsheetml/2006/main">
  <authors>
    <author>Nico Peng</author>
  </authors>
  <commentList>
    <comment ref="C7" authorId="0" shapeId="0">
      <text>
        <t>The first period is the SECOND HALF of 2026 alone: the value date falls inside 2026 and the first half is filed and already inside the balance sheet the bridge is built on.</t>
      </text>
    </comment>
    <comment ref="C8" authorId="0" shapeId="0">
      <text>
        <t>A schedule, not one rate: 11% while the allocation is undecided and the programme is being built, 10.5% once the second qualification and the customer decisions have landed, 10% as the programme is absorbed, and 9.5% from the last third of the window and for the terminal - what a scaled maker's capital costs once its build is behind it. The chain runs from the company's own filed cost of money: a 4.77% collateralised twelve-year borrowing rate, 2.75% notes bought with a conversion right, a 4.23% risk-free rate, and the premia above them on grounds with dated clocks. Move any cell and the value moves; the Sensitivity sheet shifts the whole schedule in parallel.</t>
      </text>
    </comment>
    <comment ref="B9" authorId="0" shapeId="0">
      <text>
        <t>134 days from the day after the value date to the end of the year, over 365. The second half's flows are discounted at the middle of this remainder, and every later year's mid-point is measured from the same start.</t>
      </text>
    </comment>
    <comment ref="B19" authorId="0" shapeId="0">
      <text>
        <t>The growth the path's own settled years already carry, not a rate chosen for the terminal: revenue grows 4.7%, 4.1% and 4.5% in the last three years and free cash flow 5.6% in the last. The reinvestment that supports it is inside 2035's own flow - capital spending above depreciation plus the year's working capital, about 7% of the year's after-tax operating profit.</t>
      </text>
    </comment>
    <comment ref="B21" authorId="0" shapeId="0">
      <text>
        <t>The flows inside the perpetuity arrive mid-year like the explicit years', so the perpetuity's value at year-end carries the half-year factor. The convention is named here rather than left implicit: placing them at year-end instead discounts every terminal flow half a year too long.</t>
      </text>
    </comment>
    <comment ref="B29" authorId="0" shapeId="0">
      <text>
        <t>DERIVED, never taken from the market: it is the multiple instrument A's own flows after the exit year imply at that date - their value then, over that year's EBITDA - so the two instruments are one path read two ways and agree by construction. The row at the foot of this block computes that implied multiple from the sheet's own cells, and the Checks tab asserts the two are the same number. Where a reader wants the market's own multiple instead, the Sensitivity sheet runs the exit from 8 to 14 times.</t>
      </text>
    </comment>
    <comment ref="B35" authorId="0" shapeId="0">
      <text>
        <t>The value at the end of the exit year of everything instrument A carries after it - the remaining explicit flows and the perpetuity - over the exit year's own EBITDA. This is where the exit multiple above comes from.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sheetPr>
  <dimension ref="A1:C39"/>
  <sheetViews>
    <sheetView workbookViewId="0">
      <pane ySplit="2" topLeftCell="A3" activePane="bottomLeft" state="frozen"/>
      <selection pane="bottomLeft" activeCell="A1" sqref="A1"/>
    </sheetView>
  </sheetViews>
  <sheetFormatPr baseColWidth="8" defaultRowHeight="15" outlineLevelCol="0"/>
  <cols>
    <col width="58" customWidth="1" min="1" max="1"/>
    <col width="16" customWidth="1" min="2" max="2"/>
    <col width="34" customWidth="1" min="3" max="3"/>
  </cols>
  <sheetData>
    <row r="1" ht="22" customHeight="1">
      <c r="A1" s="1" t="inlineStr">
        <is>
          <t>Applied Optoelectronics, Inc. (NASDAQ: AAOI)  |  Summary  |  $ millions except per share</t>
        </is>
      </c>
      <c r="B1" s="2" t="n"/>
      <c r="C1" s="2" t="n"/>
    </row>
    <row r="2"/>
    <row r="3">
      <c r="A3" s="3" t="inlineStr">
        <is>
          <t>THE VALUE AGAINST THE PRICE  -  two instruments on one operating path</t>
        </is>
      </c>
      <c r="B3" s="4" t="n"/>
      <c r="C3" s="4" t="n"/>
    </row>
    <row r="4">
      <c r="A4" s="5" t="inlineStr">
        <is>
          <t>Value per share  -  A: the window to 2035, then perpetual growth</t>
        </is>
      </c>
      <c r="B4" s="6">
        <f>Valuation!$B$42</f>
        <v/>
      </c>
      <c r="C4" s="7" t="inlineStr">
        <is>
          <t>the long instrument</t>
        </is>
      </c>
    </row>
    <row r="5">
      <c r="A5" s="5" t="inlineStr">
        <is>
          <t>Value per share  -  B: the window cut at 2031, then an exit multiple</t>
        </is>
      </c>
      <c r="B5" s="6">
        <f>Valuation!$B$43</f>
        <v/>
      </c>
      <c r="C5" s="7" t="inlineStr">
        <is>
          <t>the short instrument</t>
        </is>
      </c>
    </row>
    <row r="6">
      <c r="A6" t="inlineStr">
        <is>
          <t xml:space="preserve">  the value date  -  the discount clock starts here</t>
        </is>
      </c>
      <c r="B6" s="8" t="inlineStr">
        <is>
          <t>2026-08-19</t>
        </is>
      </c>
      <c r="C6" s="7" t="inlineStr">
        <is>
          <t>the note's date of record</t>
        </is>
      </c>
    </row>
    <row r="7">
      <c r="A7" s="5" t="inlineStr">
        <is>
          <t>Price</t>
        </is>
      </c>
      <c r="B7" s="9" t="n">
        <v>122.19</v>
      </c>
      <c r="C7" s="7" t="inlineStr">
        <is>
          <t>the 2026-08-19 close</t>
        </is>
      </c>
    </row>
    <row r="8">
      <c r="A8" s="5" t="inlineStr">
        <is>
          <t>Value as a multiple of the price</t>
        </is>
      </c>
      <c r="B8" s="10">
        <f>$B$4/$B$7</f>
        <v/>
      </c>
    </row>
    <row r="9">
      <c r="A9" t="inlineStr">
        <is>
          <t>Upside</t>
        </is>
      </c>
      <c r="B9" s="11">
        <f>$B$4/$B$7-1</f>
        <v/>
      </c>
    </row>
    <row r="10"/>
    <row r="11">
      <c r="A11" s="3" t="inlineStr">
        <is>
          <t>ENTERPRISE VALUE AND THE BRIDGE  (the balance sheet at 2026-06-30, with the financing since it)</t>
        </is>
      </c>
      <c r="B11" s="4" t="n"/>
      <c r="C11" s="4" t="n"/>
    </row>
    <row r="12">
      <c r="A12" s="5" t="inlineStr">
        <is>
          <t>Enterprise value  -  instrument A</t>
        </is>
      </c>
      <c r="B12" s="12">
        <f>Valuation!$B$24</f>
        <v/>
      </c>
    </row>
    <row r="13">
      <c r="A13" s="5" t="inlineStr">
        <is>
          <t>Enterprise value  -  instrument B</t>
        </is>
      </c>
      <c r="B13" s="12">
        <f>Valuation!$B$33</f>
        <v/>
      </c>
    </row>
    <row r="14">
      <c r="A14" t="inlineStr">
        <is>
          <t xml:space="preserve">  plus cash, equivalents and restricted cash</t>
        </is>
      </c>
      <c r="B14" s="13" t="n">
        <v>508.8</v>
      </c>
    </row>
    <row r="15">
      <c r="A15" t="inlineStr">
        <is>
          <t xml:space="preserve">  plus the second equity program's proceeds after June 30, net</t>
        </is>
      </c>
      <c r="B15" s="13" t="n">
        <v>0</v>
      </c>
    </row>
    <row r="16">
      <c r="A16" t="inlineStr">
        <is>
          <t xml:space="preserve">  plus the equity raise's net proceeds</t>
        </is>
      </c>
      <c r="B16" s="13" t="n">
        <v>588</v>
      </c>
    </row>
    <row r="17">
      <c r="A17" t="inlineStr">
        <is>
          <t xml:space="preserve">  plus the exercise cash on the customer warrant</t>
        </is>
      </c>
      <c r="B17" s="13" t="n">
        <v>188.3</v>
      </c>
    </row>
    <row r="18">
      <c r="A18" t="inlineStr">
        <is>
          <t xml:space="preserve">  less bank borrowings and acceptances</t>
        </is>
      </c>
      <c r="B18" s="13" t="n">
        <v>-92.8</v>
      </c>
    </row>
    <row r="19">
      <c r="A19" t="inlineStr">
        <is>
          <t xml:space="preserve">  the 2.75% notes due 2030  -  counted as shares below, so no debt here</t>
        </is>
      </c>
      <c r="B19" s="13" t="n">
        <v>0</v>
      </c>
    </row>
    <row r="20">
      <c r="A20" s="5" t="inlineStr">
        <is>
          <t xml:space="preserve">  the bridge</t>
        </is>
      </c>
      <c r="B20" s="12">
        <f>$B$14+$B$15+$B$16+$B$17+$B$18+$B$19</f>
        <v/>
      </c>
    </row>
    <row r="21">
      <c r="A21" s="5" t="inlineStr">
        <is>
          <t>EQUITY VALUE  -  instrument A</t>
        </is>
      </c>
      <c r="B21" s="14">
        <f>$B$12+$B$20</f>
        <v/>
      </c>
    </row>
    <row r="22">
      <c r="A22" s="5" t="inlineStr">
        <is>
          <t>EQUITY VALUE  -  instrument B</t>
        </is>
      </c>
      <c r="B22" s="14">
        <f>$B$13+$B$20</f>
        <v/>
      </c>
    </row>
    <row r="23"/>
    <row r="24">
      <c r="A24" s="3" t="inlineStr">
        <is>
          <t>THE COUNT  -  every claim on the equity, gross  (millions of shares)</t>
        </is>
      </c>
      <c r="B24" s="4" t="n"/>
      <c r="C24" s="4" t="n"/>
    </row>
    <row r="25">
      <c r="A25" t="inlineStr">
        <is>
          <t>Shares outstanding at the date of record</t>
        </is>
      </c>
      <c r="B25" s="15" t="n">
        <v>84.569</v>
      </c>
    </row>
    <row r="26">
      <c r="A26" t="inlineStr">
        <is>
          <t xml:space="preserve">  memo: the record's own count, at its own later date</t>
        </is>
      </c>
      <c r="B26" s="16" t="n">
        <v>84.90600000000001</v>
      </c>
    </row>
    <row r="27">
      <c r="A27" t="inlineStr">
        <is>
          <t xml:space="preserve">  plus the equity raise's shares</t>
        </is>
      </c>
      <c r="B27" s="15" t="n">
        <v>4.91</v>
      </c>
    </row>
    <row r="28">
      <c r="A28" t="inlineStr">
        <is>
          <t xml:space="preserve">  plus the 2030 notes, if converted</t>
        </is>
      </c>
      <c r="B28" s="15" t="n">
        <v>2.884</v>
      </c>
    </row>
    <row r="29">
      <c r="A29" t="inlineStr">
        <is>
          <t xml:space="preserve">  plus the customer warrant, gross</t>
        </is>
      </c>
      <c r="B29" s="15" t="n">
        <v>7.945</v>
      </c>
    </row>
    <row r="30">
      <c r="A30" t="inlineStr">
        <is>
          <t xml:space="preserve">  plus restricted and performance units, gross</t>
        </is>
      </c>
      <c r="B30" s="15" t="n">
        <v>5.8</v>
      </c>
    </row>
    <row r="31">
      <c r="A31" s="5" t="inlineStr">
        <is>
          <t>THE COUNT THE VALUATION USES</t>
        </is>
      </c>
      <c r="B31" s="17">
        <f>$B$25+$B$27+$B$28+$B$29+$B$30</f>
        <v/>
      </c>
    </row>
    <row r="32"/>
    <row r="33">
      <c r="A33" s="3" t="inlineStr">
        <is>
          <t>MARKET CAPITALIZATION AT THE PRICE</t>
        </is>
      </c>
      <c r="B33" s="4" t="n"/>
      <c r="C33" s="4" t="n"/>
    </row>
    <row r="34">
      <c r="A34" t="inlineStr">
        <is>
          <t>on shares outstanding</t>
        </is>
      </c>
      <c r="B34" s="18">
        <f>$B$7*$B$25</f>
        <v/>
      </c>
    </row>
    <row r="35">
      <c r="A35" t="inlineStr">
        <is>
          <t>on the count the valuation uses</t>
        </is>
      </c>
      <c r="B35" s="18">
        <f>$B$7*$B$31</f>
        <v/>
      </c>
    </row>
    <row r="36"/>
    <row r="37">
      <c r="A37" s="7" t="inlineStr">
        <is>
          <t>The record's held-input solve of the price is not published: a price does not decompose into one required belief.</t>
        </is>
      </c>
    </row>
    <row r="38">
      <c r="A38" s="7" t="inlineStr">
        <is>
          <t>Each generation's revenue line and its module volumes are rows on the Financials sheet; the price per module is not,</t>
        </is>
      </c>
    </row>
    <row r="39">
      <c r="A39" s="7" t="inlineStr">
        <is>
          <t>anywhere in this workbook - a customer's price no house publishes. The note states its assumption once, in prose.</t>
        </is>
      </c>
    </row>
  </sheetData>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O81"/>
  <sheetViews>
    <sheetView workbookViewId="0">
      <pane xSplit="1" ySplit="5" topLeftCell="B6" activePane="bottomRight" state="frozen"/>
      <selection pane="topRight"/>
      <selection pane="bottomLeft"/>
      <selection pane="bottomRight" activeCell="A1" sqref="A1"/>
    </sheetView>
  </sheetViews>
  <sheetFormatPr baseColWidth="8" defaultRowHeight="15" outlineLevelCol="0"/>
  <cols>
    <col width="64"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s>
  <sheetData>
    <row r="1" ht="22" customHeight="1">
      <c r="A1" s="1" t="inlineStr">
        <is>
          <t>Applied Optoelectronics  |  Financial summary  |  $ millions except per-share figures, ratios and module counts</t>
        </is>
      </c>
      <c r="B1" s="2" t="n"/>
      <c r="C1" s="2" t="n"/>
      <c r="D1" s="2" t="n"/>
      <c r="E1" s="2" t="n"/>
      <c r="F1" s="2" t="n"/>
      <c r="G1" s="2" t="n"/>
      <c r="H1" s="2" t="n"/>
      <c r="I1" s="2" t="n"/>
      <c r="J1" s="2" t="n"/>
      <c r="K1" s="2" t="n"/>
      <c r="L1" s="2" t="n"/>
      <c r="M1" s="2" t="n"/>
      <c r="N1" s="2" t="n"/>
      <c r="O1" s="2" t="n"/>
    </row>
    <row r="2"/>
    <row r="3">
      <c r="A3" s="7" t="inlineStr">
        <is>
          <t>FY2023A-FY2025A and H1 2026A are read off the filed statements (evidence/financials/, with its SOURCES.md) and are shown in grey italics. The forecast columns are the model of record's own ten periods.</t>
        </is>
      </c>
    </row>
    <row r="4">
      <c r="A4" s="7" t="inlineStr">
        <is>
          <t>The first of those is the SECOND HALF of 2026 alone: the first half is filed and already inside the June-30 balance sheet the bridge is built on.</t>
        </is>
      </c>
    </row>
    <row r="5">
      <c r="A5" s="7" t="inlineStr">
        <is>
          <t>The revenue lines and the volumes are the record's values; everything beneath them is a live formula, and the margins, the ratios, the tax rates and the capital rows are the editable inputs.</t>
        </is>
      </c>
    </row>
    <row r="6">
      <c r="A6" s="7" t="inlineStr">
        <is>
          <t>The filed archive carries no split of revenue by product line, so the filed columns carry the totals as filed and their line cells are empty. The company's own disclosed split by quarter is in the research record and the note's prose.</t>
        </is>
      </c>
    </row>
    <row r="7">
      <c r="B7" s="19" t="inlineStr">
        <is>
          <t>FY2023A</t>
        </is>
      </c>
      <c r="C7" s="19" t="inlineStr">
        <is>
          <t>FY2024A</t>
        </is>
      </c>
      <c r="D7" s="19" t="inlineStr">
        <is>
          <t>FY2025A</t>
        </is>
      </c>
      <c r="E7" s="19" t="inlineStr">
        <is>
          <t>H1 2026A</t>
        </is>
      </c>
      <c r="F7" s="19" t="inlineStr">
        <is>
          <t>H2 2026E</t>
        </is>
      </c>
      <c r="G7" s="19" t="inlineStr">
        <is>
          <t>FY2027E</t>
        </is>
      </c>
      <c r="H7" s="19" t="inlineStr">
        <is>
          <t>FY2028E</t>
        </is>
      </c>
      <c r="I7" s="19" t="inlineStr">
        <is>
          <t>FY2029E</t>
        </is>
      </c>
      <c r="J7" s="19" t="inlineStr">
        <is>
          <t>FY2030E</t>
        </is>
      </c>
      <c r="K7" s="19" t="inlineStr">
        <is>
          <t>FY2031E</t>
        </is>
      </c>
      <c r="L7" s="19" t="inlineStr">
        <is>
          <t>FY2032E</t>
        </is>
      </c>
      <c r="M7" s="19" t="inlineStr">
        <is>
          <t>FY2033E</t>
        </is>
      </c>
      <c r="N7" s="19" t="inlineStr">
        <is>
          <t>FY2034E</t>
        </is>
      </c>
      <c r="O7" s="19" t="inlineStr">
        <is>
          <t>FY2035E</t>
        </is>
      </c>
    </row>
    <row r="8">
      <c r="A8" s="3" t="inlineStr">
        <is>
          <t>REVENUE, BY THE COMPANY'S OWN LINES</t>
        </is>
      </c>
      <c r="B8" s="4" t="n"/>
      <c r="C8" s="4" t="n"/>
      <c r="D8" s="4" t="n"/>
      <c r="E8" s="4" t="n"/>
      <c r="F8" s="4" t="n"/>
      <c r="G8" s="4" t="n"/>
      <c r="H8" s="4" t="n"/>
      <c r="I8" s="4" t="n"/>
      <c r="J8" s="4" t="n"/>
      <c r="K8" s="4" t="n"/>
      <c r="L8" s="4" t="n"/>
      <c r="M8" s="4" t="n"/>
      <c r="N8" s="4" t="n"/>
      <c r="O8" s="4" t="n"/>
    </row>
    <row r="9">
      <c r="A9" s="5" t="inlineStr">
        <is>
          <t>Data-center transceivers</t>
        </is>
      </c>
      <c r="F9" s="13" t="n">
        <v>562.41</v>
      </c>
      <c r="G9" s="13" t="n">
        <v>3688.165</v>
      </c>
      <c r="H9" s="13" t="n">
        <v>5240.7337</v>
      </c>
      <c r="I9" s="13" t="n">
        <v>5956.3649</v>
      </c>
      <c r="J9" s="13" t="n">
        <v>6617.1118</v>
      </c>
      <c r="K9" s="13" t="n">
        <v>7373.7903</v>
      </c>
      <c r="L9" s="13" t="n">
        <v>8171.1712</v>
      </c>
      <c r="M9" s="13" t="n">
        <v>8515.4414</v>
      </c>
      <c r="N9" s="13" t="n">
        <v>8819.120800000001</v>
      </c>
      <c r="O9" s="13" t="n">
        <v>9178.6672</v>
      </c>
    </row>
    <row r="10">
      <c r="A10" t="inlineStr">
        <is>
          <t xml:space="preserve">  External lasers and ELSFP</t>
        </is>
      </c>
      <c r="F10" s="13" t="n">
        <v>0</v>
      </c>
      <c r="G10" s="13" t="n">
        <v>20</v>
      </c>
      <c r="H10" s="13" t="n">
        <v>150</v>
      </c>
      <c r="I10" s="13" t="n">
        <v>350</v>
      </c>
      <c r="J10" s="13" t="n">
        <v>450</v>
      </c>
      <c r="K10" s="13" t="n">
        <v>540</v>
      </c>
      <c r="L10" s="13" t="n">
        <v>610</v>
      </c>
      <c r="M10" s="13" t="n">
        <v>680</v>
      </c>
      <c r="N10" s="13" t="n">
        <v>760</v>
      </c>
      <c r="O10" s="13" t="n">
        <v>830</v>
      </c>
    </row>
    <row r="11">
      <c r="A11" t="inlineStr">
        <is>
          <t xml:space="preserve">  CATV</t>
        </is>
      </c>
      <c r="F11" s="13" t="n">
        <v>210</v>
      </c>
      <c r="G11" s="13" t="n">
        <v>420</v>
      </c>
      <c r="H11" s="13" t="n">
        <v>260</v>
      </c>
      <c r="I11" s="13" t="n">
        <v>220</v>
      </c>
      <c r="J11" s="13" t="n">
        <v>170</v>
      </c>
      <c r="K11" s="13" t="n">
        <v>140</v>
      </c>
      <c r="L11" s="13" t="n">
        <v>140</v>
      </c>
      <c r="M11" s="13" t="n">
        <v>140</v>
      </c>
      <c r="N11" s="13" t="n">
        <v>140</v>
      </c>
      <c r="O11" s="13" t="n">
        <v>140</v>
      </c>
    </row>
    <row r="12">
      <c r="A12" t="inlineStr">
        <is>
          <t xml:space="preserve">  Telecom, FTTH and other</t>
        </is>
      </c>
      <c r="F12" s="13" t="n">
        <v>7</v>
      </c>
      <c r="G12" s="13" t="n">
        <v>15</v>
      </c>
      <c r="H12" s="13" t="n">
        <v>15</v>
      </c>
      <c r="I12" s="13" t="n">
        <v>15</v>
      </c>
      <c r="J12" s="13" t="n">
        <v>15</v>
      </c>
      <c r="K12" s="13" t="n">
        <v>15</v>
      </c>
      <c r="L12" s="13" t="n">
        <v>15</v>
      </c>
      <c r="M12" s="13" t="n">
        <v>15</v>
      </c>
      <c r="N12" s="13" t="n">
        <v>15</v>
      </c>
      <c r="O12" s="13" t="n">
        <v>15</v>
      </c>
    </row>
    <row r="13">
      <c r="A13" s="5" t="inlineStr">
        <is>
          <t>TOTAL REVENUE</t>
        </is>
      </c>
      <c r="B13" s="20" t="n">
        <v>217.646</v>
      </c>
      <c r="C13" s="20" t="n">
        <v>249.365</v>
      </c>
      <c r="D13" s="20" t="n">
        <v>455.715</v>
      </c>
      <c r="E13" s="20" t="n">
        <v>343.066</v>
      </c>
      <c r="F13" s="14">
        <f>F9+F10+F11+F12</f>
        <v/>
      </c>
      <c r="G13" s="14">
        <f>G9+G10+G11+G12</f>
        <v/>
      </c>
      <c r="H13" s="14">
        <f>H9+H10+H11+H12</f>
        <v/>
      </c>
      <c r="I13" s="14">
        <f>I9+I10+I11+I12</f>
        <v/>
      </c>
      <c r="J13" s="14">
        <f>J9+J10+J11+J12</f>
        <v/>
      </c>
      <c r="K13" s="14">
        <f>K9+K10+K11+K12</f>
        <v/>
      </c>
      <c r="L13" s="14">
        <f>L9+L10+L11+L12</f>
        <v/>
      </c>
      <c r="M13" s="14">
        <f>M9+M10+M11+M12</f>
        <v/>
      </c>
      <c r="N13" s="14">
        <f>N9+N10+N11+N12</f>
        <v/>
      </c>
      <c r="O13" s="14">
        <f>O9+O10+O11+O12</f>
        <v/>
      </c>
    </row>
    <row r="14">
      <c r="A14" t="inlineStr">
        <is>
          <t xml:space="preserve">  year-on-year growth</t>
        </is>
      </c>
      <c r="G14" s="11">
        <f>G13/$B$81-1</f>
        <v/>
      </c>
      <c r="H14" s="11">
        <f>H13/G13-1</f>
        <v/>
      </c>
      <c r="I14" s="11">
        <f>I13/H13-1</f>
        <v/>
      </c>
      <c r="J14" s="11">
        <f>J13/I13-1</f>
        <v/>
      </c>
      <c r="K14" s="11">
        <f>K13/J13-1</f>
        <v/>
      </c>
      <c r="L14" s="11">
        <f>L13/K13-1</f>
        <v/>
      </c>
      <c r="M14" s="11">
        <f>M13/L13-1</f>
        <v/>
      </c>
      <c r="N14" s="11">
        <f>N13/M13-1</f>
        <v/>
      </c>
      <c r="O14" s="11">
        <f>O13/N13-1</f>
        <v/>
      </c>
    </row>
    <row r="15"/>
    <row r="16">
      <c r="A16" s="3" t="inlineStr">
        <is>
          <t>THE MODULE VOLUMES BENEATH THE DATA-CENTER LINE  -  the model of record's own shipped volumes, in thousands of modules</t>
        </is>
      </c>
      <c r="B16" s="4" t="n"/>
      <c r="C16" s="4" t="n"/>
      <c r="D16" s="4" t="n"/>
      <c r="E16" s="4" t="n"/>
      <c r="F16" s="4" t="n"/>
      <c r="G16" s="4" t="n"/>
      <c r="H16" s="4" t="n"/>
      <c r="I16" s="4" t="n"/>
      <c r="J16" s="4" t="n"/>
      <c r="K16" s="4" t="n"/>
      <c r="L16" s="4" t="n"/>
      <c r="M16" s="4" t="n"/>
      <c r="N16" s="4" t="n"/>
      <c r="O16" s="4" t="n"/>
    </row>
    <row r="17">
      <c r="A17" s="7" t="inlineStr">
        <is>
          <t>4.93 million 800G modules in 2027 and 5.02 million in 2028, against a ladder the company has published to 930,000 a month of 800G and 1.6T capacity exiting 2027: the fill, which is the note's lead thesis.</t>
        </is>
      </c>
    </row>
    <row r="18">
      <c r="A18" s="7" t="inlineStr">
        <is>
          <t>The revenue line above is the data-center segment whole, not one line per generation, so no per-module price can be divided out.</t>
        </is>
      </c>
    </row>
    <row r="19">
      <c r="A19" t="inlineStr">
        <is>
          <t xml:space="preserve">  800G modules shipped  (thousands)</t>
        </is>
      </c>
      <c r="F19" s="21" t="n">
        <v>805</v>
      </c>
      <c r="G19" s="21" t="n">
        <v>4929.9</v>
      </c>
      <c r="H19" s="21" t="n">
        <v>5018</v>
      </c>
      <c r="I19" s="21" t="n">
        <v>4841.9</v>
      </c>
      <c r="J19" s="21" t="n">
        <v>4401.7</v>
      </c>
      <c r="K19" s="21" t="n">
        <v>3697.5</v>
      </c>
      <c r="L19" s="21" t="n">
        <v>2993.2</v>
      </c>
      <c r="M19" s="21" t="n">
        <v>2465</v>
      </c>
      <c r="N19" s="21" t="n">
        <v>2024.8</v>
      </c>
      <c r="O19" s="21" t="n">
        <v>1672.7</v>
      </c>
    </row>
    <row r="20">
      <c r="A20" t="inlineStr">
        <is>
          <t xml:space="preserve">  1.6T modules shipped  (thousands)</t>
        </is>
      </c>
      <c r="F20" s="21" t="n">
        <v>77</v>
      </c>
      <c r="G20" s="21" t="n">
        <v>1376.3</v>
      </c>
      <c r="H20" s="21" t="n">
        <v>4401.7</v>
      </c>
      <c r="I20" s="21" t="n">
        <v>6690.6</v>
      </c>
      <c r="J20" s="21" t="n">
        <v>8972.5</v>
      </c>
      <c r="K20" s="21" t="n">
        <v>10933.9</v>
      </c>
      <c r="L20" s="21" t="n">
        <v>12324.9</v>
      </c>
      <c r="M20" s="21" t="n">
        <v>12817.9</v>
      </c>
      <c r="N20" s="21" t="n">
        <v>13015</v>
      </c>
      <c r="O20" s="21" t="n">
        <v>13015</v>
      </c>
    </row>
    <row r="21">
      <c r="A21" s="5" t="inlineStr">
        <is>
          <t xml:space="preserve">  high-speed modules shipped, both generations</t>
        </is>
      </c>
      <c r="F21" s="22">
        <f>F19+F20</f>
        <v/>
      </c>
      <c r="G21" s="22">
        <f>G19+G20</f>
        <v/>
      </c>
      <c r="H21" s="22">
        <f>H19+H20</f>
        <v/>
      </c>
      <c r="I21" s="22">
        <f>I19+I20</f>
        <v/>
      </c>
      <c r="J21" s="22">
        <f>J19+J20</f>
        <v/>
      </c>
      <c r="K21" s="22">
        <f>K19+K20</f>
        <v/>
      </c>
      <c r="L21" s="22">
        <f>L19+L20</f>
        <v/>
      </c>
      <c r="M21" s="22">
        <f>M19+M20</f>
        <v/>
      </c>
      <c r="N21" s="22">
        <f>N19+N20</f>
        <v/>
      </c>
      <c r="O21" s="22">
        <f>O19+O20</f>
        <v/>
      </c>
    </row>
    <row r="22"/>
    <row r="23">
      <c r="A23" s="3" t="inlineStr">
        <is>
          <t>CASH GROSS MARGIN BY LINE  -  before depreciation, which is charged on its own row below; the forecast years' margins are the editable inputs</t>
        </is>
      </c>
      <c r="B23" s="4" t="n"/>
      <c r="C23" s="4" t="n"/>
      <c r="D23" s="4" t="n"/>
      <c r="E23" s="4" t="n"/>
      <c r="F23" s="4" t="n"/>
      <c r="G23" s="4" t="n"/>
      <c r="H23" s="4" t="n"/>
      <c r="I23" s="4" t="n"/>
      <c r="J23" s="4" t="n"/>
      <c r="K23" s="4" t="n"/>
      <c r="L23" s="4" t="n"/>
      <c r="M23" s="4" t="n"/>
      <c r="N23" s="4" t="n"/>
      <c r="O23" s="4" t="n"/>
    </row>
    <row r="24">
      <c r="A24" t="inlineStr">
        <is>
          <t xml:space="preserve">  data-center transceivers</t>
        </is>
      </c>
      <c r="F24" s="23" t="n">
        <v>0.34</v>
      </c>
      <c r="G24" s="23" t="n">
        <v>0.36</v>
      </c>
      <c r="H24" s="23" t="n">
        <v>0.41</v>
      </c>
      <c r="I24" s="23" t="n">
        <v>0.41</v>
      </c>
      <c r="J24" s="23" t="n">
        <v>0.42</v>
      </c>
      <c r="K24" s="23" t="n">
        <v>0.42</v>
      </c>
      <c r="L24" s="23" t="n">
        <v>0.42</v>
      </c>
      <c r="M24" s="23" t="n">
        <v>0.42</v>
      </c>
      <c r="N24" s="23" t="n">
        <v>0.42</v>
      </c>
      <c r="O24" s="23" t="n">
        <v>0.42</v>
      </c>
    </row>
    <row r="25">
      <c r="A25" t="inlineStr">
        <is>
          <t xml:space="preserve">  external lasers and ELSFP</t>
        </is>
      </c>
      <c r="F25" s="23" t="n">
        <v>0.55</v>
      </c>
      <c r="G25" s="23" t="n">
        <v>0.55</v>
      </c>
      <c r="H25" s="23" t="n">
        <v>0.5600000000000001</v>
      </c>
      <c r="I25" s="23" t="n">
        <v>0.57</v>
      </c>
      <c r="J25" s="23" t="n">
        <v>0.58</v>
      </c>
      <c r="K25" s="23" t="n">
        <v>0.58</v>
      </c>
      <c r="L25" s="23" t="n">
        <v>0.58</v>
      </c>
      <c r="M25" s="23" t="n">
        <v>0.58</v>
      </c>
      <c r="N25" s="23" t="n">
        <v>0.58</v>
      </c>
      <c r="O25" s="23" t="n">
        <v>0.58</v>
      </c>
    </row>
    <row r="26">
      <c r="A26" t="inlineStr">
        <is>
          <t xml:space="preserve">  CATV</t>
        </is>
      </c>
      <c r="F26" s="23" t="n">
        <v>0.36</v>
      </c>
      <c r="G26" s="23" t="n">
        <v>0.36</v>
      </c>
      <c r="H26" s="23" t="n">
        <v>0.36</v>
      </c>
      <c r="I26" s="23" t="n">
        <v>0.36</v>
      </c>
      <c r="J26" s="23" t="n">
        <v>0.36</v>
      </c>
      <c r="K26" s="23" t="n">
        <v>0.42</v>
      </c>
      <c r="L26" s="23" t="n">
        <v>0.42</v>
      </c>
      <c r="M26" s="23" t="n">
        <v>0.42</v>
      </c>
      <c r="N26" s="23" t="n">
        <v>0.42</v>
      </c>
      <c r="O26" s="23" t="n">
        <v>0.42</v>
      </c>
    </row>
    <row r="27">
      <c r="A27" t="inlineStr">
        <is>
          <t xml:space="preserve">  telecom, FTTH and other</t>
        </is>
      </c>
      <c r="F27" s="23" t="n">
        <v>0.3</v>
      </c>
      <c r="G27" s="23" t="n">
        <v>0.3</v>
      </c>
      <c r="H27" s="23" t="n">
        <v>0.3</v>
      </c>
      <c r="I27" s="23" t="n">
        <v>0.3</v>
      </c>
      <c r="J27" s="23" t="n">
        <v>0.3</v>
      </c>
      <c r="K27" s="23" t="n">
        <v>0.3</v>
      </c>
      <c r="L27" s="23" t="n">
        <v>0.3</v>
      </c>
      <c r="M27" s="23" t="n">
        <v>0.3</v>
      </c>
      <c r="N27" s="23" t="n">
        <v>0.3</v>
      </c>
      <c r="O27" s="23" t="n">
        <v>0.3</v>
      </c>
    </row>
    <row r="28"/>
    <row r="29">
      <c r="A29" s="3" t="inlineStr">
        <is>
          <t>CASH COST OF REVENUE, BY LINE</t>
        </is>
      </c>
      <c r="B29" s="4" t="n"/>
      <c r="C29" s="4" t="n"/>
      <c r="D29" s="4" t="n"/>
      <c r="E29" s="4" t="n"/>
      <c r="F29" s="4" t="n"/>
      <c r="G29" s="4" t="n"/>
      <c r="H29" s="4" t="n"/>
      <c r="I29" s="4" t="n"/>
      <c r="J29" s="4" t="n"/>
      <c r="K29" s="4" t="n"/>
      <c r="L29" s="4" t="n"/>
      <c r="M29" s="4" t="n"/>
      <c r="N29" s="4" t="n"/>
      <c r="O29" s="4" t="n"/>
    </row>
    <row r="30">
      <c r="A30" t="inlineStr">
        <is>
          <t xml:space="preserve">  data-center transceivers</t>
        </is>
      </c>
      <c r="F30" s="18">
        <f>F9*(1-F24)</f>
        <v/>
      </c>
      <c r="G30" s="18">
        <f>G9*(1-G24)</f>
        <v/>
      </c>
      <c r="H30" s="18">
        <f>H9*(1-H24)</f>
        <v/>
      </c>
      <c r="I30" s="18">
        <f>I9*(1-I24)</f>
        <v/>
      </c>
      <c r="J30" s="18">
        <f>J9*(1-J24)</f>
        <v/>
      </c>
      <c r="K30" s="18">
        <f>K9*(1-K24)</f>
        <v/>
      </c>
      <c r="L30" s="18">
        <f>L9*(1-L24)</f>
        <v/>
      </c>
      <c r="M30" s="18">
        <f>M9*(1-M24)</f>
        <v/>
      </c>
      <c r="N30" s="18">
        <f>N9*(1-N24)</f>
        <v/>
      </c>
      <c r="O30" s="18">
        <f>O9*(1-O24)</f>
        <v/>
      </c>
    </row>
    <row r="31">
      <c r="A31" t="inlineStr">
        <is>
          <t xml:space="preserve">  external lasers and ELSFP</t>
        </is>
      </c>
      <c r="F31" s="18">
        <f>F10*(1-F25)</f>
        <v/>
      </c>
      <c r="G31" s="18">
        <f>G10*(1-G25)</f>
        <v/>
      </c>
      <c r="H31" s="18">
        <f>H10*(1-H25)</f>
        <v/>
      </c>
      <c r="I31" s="18">
        <f>I10*(1-I25)</f>
        <v/>
      </c>
      <c r="J31" s="18">
        <f>J10*(1-J25)</f>
        <v/>
      </c>
      <c r="K31" s="18">
        <f>K10*(1-K25)</f>
        <v/>
      </c>
      <c r="L31" s="18">
        <f>L10*(1-L25)</f>
        <v/>
      </c>
      <c r="M31" s="18">
        <f>M10*(1-M25)</f>
        <v/>
      </c>
      <c r="N31" s="18">
        <f>N10*(1-N25)</f>
        <v/>
      </c>
      <c r="O31" s="18">
        <f>O10*(1-O25)</f>
        <v/>
      </c>
    </row>
    <row r="32">
      <c r="A32" t="inlineStr">
        <is>
          <t xml:space="preserve">  CATV</t>
        </is>
      </c>
      <c r="F32" s="18">
        <f>F11*(1-F26)</f>
        <v/>
      </c>
      <c r="G32" s="18">
        <f>G11*(1-G26)</f>
        <v/>
      </c>
      <c r="H32" s="18">
        <f>H11*(1-H26)</f>
        <v/>
      </c>
      <c r="I32" s="18">
        <f>I11*(1-I26)</f>
        <v/>
      </c>
      <c r="J32" s="18">
        <f>J11*(1-J26)</f>
        <v/>
      </c>
      <c r="K32" s="18">
        <f>K11*(1-K26)</f>
        <v/>
      </c>
      <c r="L32" s="18">
        <f>L11*(1-L26)</f>
        <v/>
      </c>
      <c r="M32" s="18">
        <f>M11*(1-M26)</f>
        <v/>
      </c>
      <c r="N32" s="18">
        <f>N11*(1-N26)</f>
        <v/>
      </c>
      <c r="O32" s="18">
        <f>O11*(1-O26)</f>
        <v/>
      </c>
    </row>
    <row r="33">
      <c r="A33" t="inlineStr">
        <is>
          <t xml:space="preserve">  telecom, FTTH and other</t>
        </is>
      </c>
      <c r="F33" s="18">
        <f>F12*(1-F27)</f>
        <v/>
      </c>
      <c r="G33" s="18">
        <f>G12*(1-G27)</f>
        <v/>
      </c>
      <c r="H33" s="18">
        <f>H12*(1-H27)</f>
        <v/>
      </c>
      <c r="I33" s="18">
        <f>I12*(1-I27)</f>
        <v/>
      </c>
      <c r="J33" s="18">
        <f>J12*(1-J27)</f>
        <v/>
      </c>
      <c r="K33" s="18">
        <f>K12*(1-K27)</f>
        <v/>
      </c>
      <c r="L33" s="18">
        <f>L12*(1-L27)</f>
        <v/>
      </c>
      <c r="M33" s="18">
        <f>M12*(1-M27)</f>
        <v/>
      </c>
      <c r="N33" s="18">
        <f>N12*(1-N27)</f>
        <v/>
      </c>
      <c r="O33" s="18">
        <f>O12*(1-O27)</f>
        <v/>
      </c>
    </row>
    <row r="34">
      <c r="A34" s="5" t="inlineStr">
        <is>
          <t>TOTAL CASH COST OF REVENUE</t>
        </is>
      </c>
      <c r="F34" s="12">
        <f>F30+F31+F32+F33</f>
        <v/>
      </c>
      <c r="G34" s="12">
        <f>G30+G31+G32+G33</f>
        <v/>
      </c>
      <c r="H34" s="12">
        <f>H30+H31+H32+H33</f>
        <v/>
      </c>
      <c r="I34" s="12">
        <f>I30+I31+I32+I33</f>
        <v/>
      </c>
      <c r="J34" s="12">
        <f>J30+J31+J32+J33</f>
        <v/>
      </c>
      <c r="K34" s="12">
        <f>K30+K31+K32+K33</f>
        <v/>
      </c>
      <c r="L34" s="12">
        <f>L30+L31+L32+L33</f>
        <v/>
      </c>
      <c r="M34" s="12">
        <f>M30+M31+M32+M33</f>
        <v/>
      </c>
      <c r="N34" s="12">
        <f>N30+N31+N32+N33</f>
        <v/>
      </c>
      <c r="O34" s="12">
        <f>O30+O31+O32+O33</f>
        <v/>
      </c>
    </row>
    <row r="35">
      <c r="A35" t="inlineStr">
        <is>
          <t xml:space="preserve">  memo: cost of revenue as filed  -  carries depreciation inside it</t>
        </is>
      </c>
      <c r="B35" s="24" t="n">
        <v>158.725</v>
      </c>
      <c r="C35" s="24" t="n">
        <v>187.565</v>
      </c>
      <c r="D35" s="24" t="n">
        <v>318.802</v>
      </c>
      <c r="E35" s="24" t="n">
        <v>245.943</v>
      </c>
    </row>
    <row r="36"/>
    <row r="37">
      <c r="A37" s="3" t="inlineStr">
        <is>
          <t>GROSS PROFIT</t>
        </is>
      </c>
      <c r="B37" s="4" t="n"/>
      <c r="C37" s="4" t="n"/>
      <c r="D37" s="4" t="n"/>
      <c r="E37" s="4" t="n"/>
      <c r="F37" s="4" t="n"/>
      <c r="G37" s="4" t="n"/>
      <c r="H37" s="4" t="n"/>
      <c r="I37" s="4" t="n"/>
      <c r="J37" s="4" t="n"/>
      <c r="K37" s="4" t="n"/>
      <c r="L37" s="4" t="n"/>
      <c r="M37" s="4" t="n"/>
      <c r="N37" s="4" t="n"/>
      <c r="O37" s="4" t="n"/>
    </row>
    <row r="38">
      <c r="A38" s="5" t="inlineStr">
        <is>
          <t>CASH GROSS PROFIT  (before depreciation)</t>
        </is>
      </c>
      <c r="F38" s="14">
        <f>F13-F34</f>
        <v/>
      </c>
      <c r="G38" s="14">
        <f>G13-G34</f>
        <v/>
      </c>
      <c r="H38" s="14">
        <f>H13-H34</f>
        <v/>
      </c>
      <c r="I38" s="14">
        <f>I13-I34</f>
        <v/>
      </c>
      <c r="J38" s="14">
        <f>J13-J34</f>
        <v/>
      </c>
      <c r="K38" s="14">
        <f>K13-K34</f>
        <v/>
      </c>
      <c r="L38" s="14">
        <f>L13-L34</f>
        <v/>
      </c>
      <c r="M38" s="14">
        <f>M13-M34</f>
        <v/>
      </c>
      <c r="N38" s="14">
        <f>N13-N34</f>
        <v/>
      </c>
      <c r="O38" s="14">
        <f>O13-O34</f>
        <v/>
      </c>
    </row>
    <row r="39">
      <c r="A39" t="inlineStr">
        <is>
          <t xml:space="preserve">  cash gross margin, blended</t>
        </is>
      </c>
      <c r="F39" s="11">
        <f>F38/F13</f>
        <v/>
      </c>
      <c r="G39" s="11">
        <f>G38/G13</f>
        <v/>
      </c>
      <c r="H39" s="11">
        <f>H38/H13</f>
        <v/>
      </c>
      <c r="I39" s="11">
        <f>I38/I13</f>
        <v/>
      </c>
      <c r="J39" s="11">
        <f>J38/J13</f>
        <v/>
      </c>
      <c r="K39" s="11">
        <f>K38/K13</f>
        <v/>
      </c>
      <c r="L39" s="11">
        <f>L38/L13</f>
        <v/>
      </c>
      <c r="M39" s="11">
        <f>M38/M13</f>
        <v/>
      </c>
      <c r="N39" s="11">
        <f>N38/N13</f>
        <v/>
      </c>
      <c r="O39" s="11">
        <f>O38/O13</f>
        <v/>
      </c>
    </row>
    <row r="40">
      <c r="A40" t="inlineStr">
        <is>
          <t xml:space="preserve">  memo: gross profit as filed</t>
        </is>
      </c>
      <c r="B40" s="24" t="n">
        <v>58.921</v>
      </c>
      <c r="C40" s="24" t="n">
        <v>61.8</v>
      </c>
      <c r="D40" s="24" t="n">
        <v>136.913</v>
      </c>
      <c r="E40" s="24" t="n">
        <v>97.123</v>
      </c>
    </row>
    <row r="41">
      <c r="A41" s="5" t="inlineStr">
        <is>
          <t>GROSS MARGIN AFTER DEPRECIATION  -  the basis the company reports</t>
        </is>
      </c>
      <c r="B41" s="25" t="n">
        <v>0.2707194251215276</v>
      </c>
      <c r="C41" s="25" t="n">
        <v>0.2478294868967177</v>
      </c>
      <c r="D41" s="25" t="n">
        <v>0.300435579254578</v>
      </c>
      <c r="E41" s="25" t="n">
        <v>0.2831029597803338</v>
      </c>
      <c r="F41" s="26">
        <f>(F38-F52)/F13</f>
        <v/>
      </c>
      <c r="G41" s="26">
        <f>(G38-G52)/G13</f>
        <v/>
      </c>
      <c r="H41" s="26">
        <f>(H38-H52)/H13</f>
        <v/>
      </c>
      <c r="I41" s="26">
        <f>(I38-I52)/I13</f>
        <v/>
      </c>
      <c r="J41" s="26">
        <f>(J38-J52)/J13</f>
        <v/>
      </c>
      <c r="K41" s="26">
        <f>(K38-K52)/K13</f>
        <v/>
      </c>
      <c r="L41" s="26">
        <f>(L38-L52)/L13</f>
        <v/>
      </c>
      <c r="M41" s="26">
        <f>(M38-M52)/M13</f>
        <v/>
      </c>
      <c r="N41" s="26">
        <f>(N38-N52)/N13</f>
        <v/>
      </c>
      <c r="O41" s="26">
        <f>(O38-O52)/O13</f>
        <v/>
      </c>
    </row>
    <row r="42"/>
    <row r="43">
      <c r="A43" s="3" t="inlineStr">
        <is>
          <t>OPERATING EXPENSE  -  cash, and excluding stock compensation</t>
        </is>
      </c>
      <c r="B43" s="4" t="n"/>
      <c r="C43" s="4" t="n"/>
      <c r="D43" s="4" t="n"/>
      <c r="E43" s="4" t="n"/>
      <c r="F43" s="4" t="n"/>
      <c r="G43" s="4" t="n"/>
      <c r="H43" s="4" t="n"/>
      <c r="I43" s="4" t="n"/>
      <c r="J43" s="4" t="n"/>
      <c r="K43" s="4" t="n"/>
      <c r="L43" s="4" t="n"/>
      <c r="M43" s="4" t="n"/>
      <c r="N43" s="4" t="n"/>
      <c r="O43" s="4" t="n"/>
    </row>
    <row r="44">
      <c r="A44" t="inlineStr">
        <is>
          <t xml:space="preserve">  research and development</t>
        </is>
      </c>
      <c r="B44" s="24" t="n">
        <v>35.975</v>
      </c>
      <c r="C44" s="24" t="n">
        <v>54.955</v>
      </c>
      <c r="D44" s="24" t="n">
        <v>85.50700000000001</v>
      </c>
      <c r="E44" s="24" t="n">
        <v>60.527</v>
      </c>
      <c r="F44" s="13" t="n">
        <v>72</v>
      </c>
      <c r="G44" s="13" t="n">
        <v>272.1</v>
      </c>
      <c r="H44" s="13" t="n">
        <v>331.6</v>
      </c>
      <c r="I44" s="13" t="n">
        <v>332.1</v>
      </c>
      <c r="J44" s="13" t="n">
        <v>351.8</v>
      </c>
      <c r="K44" s="13" t="n">
        <v>370.8</v>
      </c>
      <c r="L44" s="13" t="n">
        <v>387.8</v>
      </c>
      <c r="M44" s="13" t="n">
        <v>406</v>
      </c>
      <c r="N44" s="13" t="n">
        <v>411.2</v>
      </c>
      <c r="O44" s="13" t="n">
        <v>417.6</v>
      </c>
    </row>
    <row r="45">
      <c r="A45" t="inlineStr">
        <is>
          <t xml:space="preserve">  sales and marketing</t>
        </is>
      </c>
      <c r="B45" s="24" t="n">
        <v>11.069</v>
      </c>
      <c r="C45" s="24" t="n">
        <v>18.154</v>
      </c>
      <c r="D45" s="24" t="n">
        <v>30.267</v>
      </c>
      <c r="E45" s="24" t="n">
        <v>17.837</v>
      </c>
      <c r="F45" s="13" t="n">
        <v>23</v>
      </c>
      <c r="G45" s="13" t="n">
        <v>78.8</v>
      </c>
      <c r="H45" s="13" t="n">
        <v>93.7</v>
      </c>
      <c r="I45" s="13" t="n">
        <v>92</v>
      </c>
      <c r="J45" s="13" t="n">
        <v>98.09999999999999</v>
      </c>
      <c r="K45" s="13" t="n">
        <v>103.1</v>
      </c>
      <c r="L45" s="13" t="n">
        <v>108.1</v>
      </c>
      <c r="M45" s="13" t="n">
        <v>113.3</v>
      </c>
      <c r="N45" s="13" t="n">
        <v>113.9</v>
      </c>
      <c r="O45" s="13" t="n">
        <v>114.6</v>
      </c>
    </row>
    <row r="46">
      <c r="A46" t="inlineStr">
        <is>
          <t xml:space="preserve">  general and administrative</t>
        </is>
      </c>
      <c r="B46" s="24" t="n">
        <v>53.226</v>
      </c>
      <c r="C46" s="24" t="n">
        <v>59.599</v>
      </c>
      <c r="D46" s="24" t="n">
        <v>75.741</v>
      </c>
      <c r="E46" s="24" t="n">
        <v>56.477</v>
      </c>
      <c r="F46" s="13" t="n">
        <v>63</v>
      </c>
      <c r="G46" s="13" t="n">
        <v>181.9</v>
      </c>
      <c r="H46" s="13" t="n">
        <v>226.3</v>
      </c>
      <c r="I46" s="13" t="n">
        <v>230</v>
      </c>
      <c r="J46" s="13" t="n">
        <v>243.8</v>
      </c>
      <c r="K46" s="13" t="n">
        <v>257.7</v>
      </c>
      <c r="L46" s="13" t="n">
        <v>269.6</v>
      </c>
      <c r="M46" s="13" t="n">
        <v>282.3</v>
      </c>
      <c r="N46" s="13" t="n">
        <v>284.6</v>
      </c>
      <c r="O46" s="13" t="n">
        <v>288</v>
      </c>
    </row>
    <row r="47">
      <c r="A47" s="5" t="inlineStr">
        <is>
          <t>TOTAL CASH OPERATING EXPENSE</t>
        </is>
      </c>
      <c r="B47" s="20" t="n">
        <v>100.27</v>
      </c>
      <c r="C47" s="20" t="n">
        <v>132.708</v>
      </c>
      <c r="D47" s="20" t="n">
        <v>191.515</v>
      </c>
      <c r="E47" s="20" t="n">
        <v>134.841</v>
      </c>
      <c r="F47" s="12">
        <f>F44+F45+F46</f>
        <v/>
      </c>
      <c r="G47" s="12">
        <f>G44+G45+G46</f>
        <v/>
      </c>
      <c r="H47" s="12">
        <f>H44+H45+H46</f>
        <v/>
      </c>
      <c r="I47" s="12">
        <f>I44+I45+I46</f>
        <v/>
      </c>
      <c r="J47" s="12">
        <f>J44+J45+J46</f>
        <v/>
      </c>
      <c r="K47" s="12">
        <f>K44+K45+K46</f>
        <v/>
      </c>
      <c r="L47" s="12">
        <f>L44+L45+L46</f>
        <v/>
      </c>
      <c r="M47" s="12">
        <f>M44+M45+M46</f>
        <v/>
      </c>
      <c r="N47" s="12">
        <f>N44+N45+N46</f>
        <v/>
      </c>
      <c r="O47" s="12">
        <f>O44+O45+O46</f>
        <v/>
      </c>
    </row>
    <row r="48">
      <c r="A48" t="inlineStr">
        <is>
          <t xml:space="preserve">  as a share of revenue</t>
        </is>
      </c>
      <c r="B48" s="11">
        <f>B47/B13</f>
        <v/>
      </c>
      <c r="C48" s="11">
        <f>C47/C13</f>
        <v/>
      </c>
      <c r="D48" s="11">
        <f>D47/D13</f>
        <v/>
      </c>
      <c r="E48" s="11">
        <f>E47/E13</f>
        <v/>
      </c>
      <c r="F48" s="11">
        <f>F47/F13</f>
        <v/>
      </c>
      <c r="G48" s="11">
        <f>G47/G13</f>
        <v/>
      </c>
      <c r="H48" s="11">
        <f>H47/H13</f>
        <v/>
      </c>
      <c r="I48" s="11">
        <f>I47/I13</f>
        <v/>
      </c>
      <c r="J48" s="11">
        <f>J47/J13</f>
        <v/>
      </c>
      <c r="K48" s="11">
        <f>K47/K13</f>
        <v/>
      </c>
      <c r="L48" s="11">
        <f>L47/L13</f>
        <v/>
      </c>
      <c r="M48" s="11">
        <f>M47/M13</f>
        <v/>
      </c>
      <c r="N48" s="11">
        <f>N47/N13</f>
        <v/>
      </c>
      <c r="O48" s="11">
        <f>O47/O13</f>
        <v/>
      </c>
    </row>
    <row r="49"/>
    <row r="50">
      <c r="A50" s="3" t="inlineStr">
        <is>
          <t>PROFIT</t>
        </is>
      </c>
      <c r="B50" s="4" t="n"/>
      <c r="C50" s="4" t="n"/>
      <c r="D50" s="4" t="n"/>
      <c r="E50" s="4" t="n"/>
      <c r="F50" s="4" t="n"/>
      <c r="G50" s="4" t="n"/>
      <c r="H50" s="4" t="n"/>
      <c r="I50" s="4" t="n"/>
      <c r="J50" s="4" t="n"/>
      <c r="K50" s="4" t="n"/>
      <c r="L50" s="4" t="n"/>
      <c r="M50" s="4" t="n"/>
      <c r="N50" s="4" t="n"/>
      <c r="O50" s="4" t="n"/>
    </row>
    <row r="51">
      <c r="A51" s="5" t="inlineStr">
        <is>
          <t>EBITDA  (cash gross profit less cash operating expense)</t>
        </is>
      </c>
      <c r="B51" s="20" t="n">
        <v>-20.922</v>
      </c>
      <c r="C51" s="20" t="n">
        <v>-50.259</v>
      </c>
      <c r="D51" s="20" t="n">
        <v>-26.906</v>
      </c>
      <c r="F51" s="14">
        <f>F38-F47</f>
        <v/>
      </c>
      <c r="G51" s="14">
        <f>G38-G47</f>
        <v/>
      </c>
      <c r="H51" s="14">
        <f>H38-H47</f>
        <v/>
      </c>
      <c r="I51" s="14">
        <f>I38-I47</f>
        <v/>
      </c>
      <c r="J51" s="14">
        <f>J38-J47</f>
        <v/>
      </c>
      <c r="K51" s="14">
        <f>K38-K47</f>
        <v/>
      </c>
      <c r="L51" s="14">
        <f>L38-L47</f>
        <v/>
      </c>
      <c r="M51" s="14">
        <f>M38-M47</f>
        <v/>
      </c>
      <c r="N51" s="14">
        <f>N38-N47</f>
        <v/>
      </c>
      <c r="O51" s="14">
        <f>O38-O47</f>
        <v/>
      </c>
    </row>
    <row r="52">
      <c r="A52" t="inlineStr">
        <is>
          <t>Depreciation and amortisation</t>
        </is>
      </c>
      <c r="B52" s="24" t="n">
        <v>20.427</v>
      </c>
      <c r="C52" s="24" t="n">
        <v>20.649</v>
      </c>
      <c r="D52" s="24" t="n">
        <v>27.696</v>
      </c>
      <c r="F52" s="13" t="n">
        <v>28</v>
      </c>
      <c r="G52" s="13" t="n">
        <v>150</v>
      </c>
      <c r="H52" s="13" t="n">
        <v>245</v>
      </c>
      <c r="I52" s="13" t="n">
        <v>300</v>
      </c>
      <c r="J52" s="13" t="n">
        <v>345</v>
      </c>
      <c r="K52" s="13" t="n">
        <v>385</v>
      </c>
      <c r="L52" s="13" t="n">
        <v>430</v>
      </c>
      <c r="M52" s="13" t="n">
        <v>470</v>
      </c>
      <c r="N52" s="13" t="n">
        <v>505</v>
      </c>
      <c r="O52" s="13" t="n">
        <v>535</v>
      </c>
    </row>
    <row r="53">
      <c r="A53" s="5" t="inlineStr">
        <is>
          <t>OPERATING PROFIT (EBIT)</t>
        </is>
      </c>
      <c r="B53" s="20" t="n">
        <v>-41.349</v>
      </c>
      <c r="C53" s="20" t="n">
        <v>-70.908</v>
      </c>
      <c r="D53" s="20" t="n">
        <v>-54.602</v>
      </c>
      <c r="E53" s="20" t="n">
        <v>-37.718</v>
      </c>
      <c r="F53" s="14">
        <f>F51-F52</f>
        <v/>
      </c>
      <c r="G53" s="14">
        <f>G51-G52</f>
        <v/>
      </c>
      <c r="H53" s="14">
        <f>H51-H52</f>
        <v/>
      </c>
      <c r="I53" s="14">
        <f>I51-I52</f>
        <v/>
      </c>
      <c r="J53" s="14">
        <f>J51-J52</f>
        <v/>
      </c>
      <c r="K53" s="14">
        <f>K51-K52</f>
        <v/>
      </c>
      <c r="L53" s="14">
        <f>L51-L52</f>
        <v/>
      </c>
      <c r="M53" s="14">
        <f>M51-M52</f>
        <v/>
      </c>
      <c r="N53" s="14">
        <f>N51-N52</f>
        <v/>
      </c>
      <c r="O53" s="14">
        <f>O51-O52</f>
        <v/>
      </c>
    </row>
    <row r="54">
      <c r="A54" t="inlineStr">
        <is>
          <t xml:space="preserve">  operating margin</t>
        </is>
      </c>
      <c r="B54" s="11">
        <f>B53/B13</f>
        <v/>
      </c>
      <c r="C54" s="11">
        <f>C53/C13</f>
        <v/>
      </c>
      <c r="D54" s="11">
        <f>D53/D13</f>
        <v/>
      </c>
      <c r="E54" s="11">
        <f>E53/E13</f>
        <v/>
      </c>
      <c r="F54" s="11">
        <f>F53/F13</f>
        <v/>
      </c>
      <c r="G54" s="11">
        <f>G53/G13</f>
        <v/>
      </c>
      <c r="H54" s="11">
        <f>H53/H13</f>
        <v/>
      </c>
      <c r="I54" s="11">
        <f>I53/I13</f>
        <v/>
      </c>
      <c r="J54" s="11">
        <f>J53/J13</f>
        <v/>
      </c>
      <c r="K54" s="11">
        <f>K53/K13</f>
        <v/>
      </c>
      <c r="L54" s="11">
        <f>L53/L13</f>
        <v/>
      </c>
      <c r="M54" s="11">
        <f>M53/M13</f>
        <v/>
      </c>
      <c r="N54" s="11">
        <f>N53/N13</f>
        <v/>
      </c>
      <c r="O54" s="11">
        <f>O53/O13</f>
        <v/>
      </c>
    </row>
    <row r="55">
      <c r="A55" t="inlineStr">
        <is>
          <t xml:space="preserve">  cash tax rate on operating profit  (the jurisdiction schedule)</t>
        </is>
      </c>
      <c r="F55" s="23" t="n">
        <v>0.131</v>
      </c>
      <c r="G55" s="23" t="n">
        <v>0.171</v>
      </c>
      <c r="H55" s="23" t="n">
        <v>0.121</v>
      </c>
      <c r="I55" s="23" t="n">
        <v>0.193</v>
      </c>
      <c r="J55" s="23" t="n">
        <v>0.199</v>
      </c>
      <c r="K55" s="23" t="n">
        <v>0.203</v>
      </c>
      <c r="L55" s="23" t="n">
        <v>0.204</v>
      </c>
      <c r="M55" s="23" t="n">
        <v>0.206</v>
      </c>
      <c r="N55" s="23" t="n">
        <v>0.208</v>
      </c>
      <c r="O55" s="23" t="n">
        <v>0.21</v>
      </c>
    </row>
    <row r="56">
      <c r="A56" t="inlineStr">
        <is>
          <t>Cash tax</t>
        </is>
      </c>
      <c r="B56" s="24" t="n">
        <v>0.009000000000000001</v>
      </c>
      <c r="C56" s="24" t="n">
        <v>0.002</v>
      </c>
      <c r="D56" s="24" t="n">
        <v>-8.476000000000001</v>
      </c>
      <c r="E56" s="24" t="n">
        <v>2.338</v>
      </c>
      <c r="F56" s="18">
        <f>ROUND(F55*F53,1)</f>
        <v/>
      </c>
      <c r="G56" s="18">
        <f>ROUND(G55*G53,1)</f>
        <v/>
      </c>
      <c r="H56" s="18">
        <f>ROUND(H55*H53,1)</f>
        <v/>
      </c>
      <c r="I56" s="18">
        <f>ROUND(I55*I53,1)</f>
        <v/>
      </c>
      <c r="J56" s="18">
        <f>ROUND(J55*J53,1)</f>
        <v/>
      </c>
      <c r="K56" s="18">
        <f>ROUND(K55*K53,1)</f>
        <v/>
      </c>
      <c r="L56" s="18">
        <f>ROUND(L55*L53,1)</f>
        <v/>
      </c>
      <c r="M56" s="18">
        <f>ROUND(M55*M53,1)</f>
        <v/>
      </c>
      <c r="N56" s="18">
        <f>ROUND(N55*N53,1)</f>
        <v/>
      </c>
      <c r="O56" s="18">
        <f>ROUND(O55*O53,1)</f>
        <v/>
      </c>
    </row>
    <row r="57">
      <c r="A57" s="5" t="inlineStr">
        <is>
          <t>OPERATING PROFIT AFTER CASH TAX</t>
        </is>
      </c>
      <c r="F57" s="12">
        <f>F53-F56</f>
        <v/>
      </c>
      <c r="G57" s="12">
        <f>G53-G56</f>
        <v/>
      </c>
      <c r="H57" s="12">
        <f>H53-H56</f>
        <v/>
      </c>
      <c r="I57" s="12">
        <f>I53-I56</f>
        <v/>
      </c>
      <c r="J57" s="12">
        <f>J53-J56</f>
        <v/>
      </c>
      <c r="K57" s="12">
        <f>K53-K56</f>
        <v/>
      </c>
      <c r="L57" s="12">
        <f>L53-L56</f>
        <v/>
      </c>
      <c r="M57" s="12">
        <f>M53-M56</f>
        <v/>
      </c>
      <c r="N57" s="12">
        <f>N53-N56</f>
        <v/>
      </c>
      <c r="O57" s="12">
        <f>O53-O56</f>
        <v/>
      </c>
    </row>
    <row r="58">
      <c r="A58" t="inlineStr">
        <is>
          <t xml:space="preserve">  memo: net income (loss) as filed</t>
        </is>
      </c>
      <c r="B58" s="24" t="n">
        <v>-56.048</v>
      </c>
      <c r="C58" s="24" t="n">
        <v>-186.733</v>
      </c>
      <c r="D58" s="24" t="n">
        <v>-38.228</v>
      </c>
      <c r="E58" s="24" t="n">
        <v>-37.062</v>
      </c>
    </row>
    <row r="59">
      <c r="A59" t="inlineStr">
        <is>
          <t>Diluted shares</t>
        </is>
      </c>
      <c r="B59" s="16" t="n">
        <v>31.944259</v>
      </c>
      <c r="C59" s="16" t="n">
        <v>41.538551</v>
      </c>
      <c r="D59" s="16" t="n">
        <v>60.18398699999999</v>
      </c>
      <c r="F59" s="27">
        <f>Summary!$B$31</f>
        <v/>
      </c>
      <c r="G59" s="27">
        <f>Summary!$B$31</f>
        <v/>
      </c>
      <c r="H59" s="27">
        <f>Summary!$B$31</f>
        <v/>
      </c>
      <c r="I59" s="27">
        <f>Summary!$B$31</f>
        <v/>
      </c>
      <c r="J59" s="27">
        <f>Summary!$B$31</f>
        <v/>
      </c>
      <c r="K59" s="27">
        <f>Summary!$B$31</f>
        <v/>
      </c>
      <c r="L59" s="27">
        <f>Summary!$B$31</f>
        <v/>
      </c>
      <c r="M59" s="27">
        <f>Summary!$B$31</f>
        <v/>
      </c>
      <c r="N59" s="27">
        <f>Summary!$B$31</f>
        <v/>
      </c>
      <c r="O59" s="27">
        <f>Summary!$B$31</f>
        <v/>
      </c>
    </row>
    <row r="60">
      <c r="A60" s="5" t="inlineStr">
        <is>
          <t>EARNINGS PER SHARE  -  on the derived profit above</t>
        </is>
      </c>
      <c r="F60" s="28">
        <f>F57/F59</f>
        <v/>
      </c>
      <c r="G60" s="28">
        <f>G57/G59</f>
        <v/>
      </c>
      <c r="H60" s="28">
        <f>H57/H59</f>
        <v/>
      </c>
      <c r="I60" s="28">
        <f>I57/I59</f>
        <v/>
      </c>
      <c r="J60" s="28">
        <f>J57/J59</f>
        <v/>
      </c>
      <c r="K60" s="28">
        <f>K57/K59</f>
        <v/>
      </c>
      <c r="L60" s="28">
        <f>L57/L59</f>
        <v/>
      </c>
      <c r="M60" s="28">
        <f>M57/M59</f>
        <v/>
      </c>
      <c r="N60" s="28">
        <f>N57/N59</f>
        <v/>
      </c>
      <c r="O60" s="28">
        <f>O57/O59</f>
        <v/>
      </c>
    </row>
    <row r="61">
      <c r="A61" t="inlineStr">
        <is>
          <t xml:space="preserve">  memo: diluted earnings per share as filed</t>
        </is>
      </c>
      <c r="B61" s="29" t="n">
        <v>-1.75</v>
      </c>
      <c r="C61" s="29" t="n">
        <v>-4.5</v>
      </c>
      <c r="D61" s="29" t="n">
        <v>-0.64</v>
      </c>
    </row>
    <row r="62"/>
    <row r="63">
      <c r="A63" s="3" t="inlineStr">
        <is>
          <t>CAPITAL AND CASH</t>
        </is>
      </c>
      <c r="B63" s="4" t="n"/>
      <c r="C63" s="4" t="n"/>
      <c r="D63" s="4" t="n"/>
      <c r="E63" s="4" t="n"/>
      <c r="F63" s="4" t="n"/>
      <c r="G63" s="4" t="n"/>
      <c r="H63" s="4" t="n"/>
      <c r="I63" s="4" t="n"/>
      <c r="J63" s="4" t="n"/>
      <c r="K63" s="4" t="n"/>
      <c r="L63" s="4" t="n"/>
      <c r="M63" s="4" t="n"/>
      <c r="N63" s="4" t="n"/>
      <c r="O63" s="4" t="n"/>
    </row>
    <row r="64">
      <c r="A64" t="inlineStr">
        <is>
          <t>Capital expenditure, including equipment prepayments</t>
        </is>
      </c>
      <c r="B64" s="24" t="n">
        <v>14.308</v>
      </c>
      <c r="C64" s="24" t="n">
        <v>50.198</v>
      </c>
      <c r="D64" s="24" t="n">
        <v>210.23</v>
      </c>
      <c r="F64" s="13" t="n">
        <v>650</v>
      </c>
      <c r="G64" s="13" t="n">
        <v>1199.85</v>
      </c>
      <c r="H64" s="13" t="n">
        <v>900</v>
      </c>
      <c r="I64" s="13" t="n">
        <v>650</v>
      </c>
      <c r="J64" s="13" t="n">
        <v>550</v>
      </c>
      <c r="K64" s="13" t="n">
        <v>570</v>
      </c>
      <c r="L64" s="13" t="n">
        <v>560</v>
      </c>
      <c r="M64" s="13" t="n">
        <v>580</v>
      </c>
      <c r="N64" s="13" t="n">
        <v>600</v>
      </c>
      <c r="O64" s="13" t="n">
        <v>620</v>
      </c>
    </row>
    <row r="65">
      <c r="A65" t="inlineStr">
        <is>
          <t xml:space="preserve">  net working capital, % of revenue</t>
        </is>
      </c>
      <c r="F65" s="23" t="n">
        <v>0.519</v>
      </c>
      <c r="G65" s="23" t="n">
        <v>0.2</v>
      </c>
      <c r="H65" s="23" t="n">
        <v>0.19</v>
      </c>
      <c r="I65" s="23" t="n">
        <v>0.18</v>
      </c>
      <c r="J65" s="23" t="n">
        <v>0.17</v>
      </c>
      <c r="K65" s="23" t="n">
        <v>0.17</v>
      </c>
      <c r="L65" s="23" t="n">
        <v>0.17</v>
      </c>
      <c r="M65" s="23" t="n">
        <v>0.17</v>
      </c>
      <c r="N65" s="23" t="n">
        <v>0.17</v>
      </c>
      <c r="O65" s="23" t="n">
        <v>0.17</v>
      </c>
    </row>
    <row r="66">
      <c r="A66" t="inlineStr">
        <is>
          <t xml:space="preserve">  net working capital</t>
        </is>
      </c>
      <c r="F66" s="18">
        <f>F13*F65</f>
        <v/>
      </c>
      <c r="G66" s="18">
        <f>G13*G65</f>
        <v/>
      </c>
      <c r="H66" s="18">
        <f>H13*H65</f>
        <v/>
      </c>
      <c r="I66" s="18">
        <f>I13*I65</f>
        <v/>
      </c>
      <c r="J66" s="18">
        <f>J13*J65</f>
        <v/>
      </c>
      <c r="K66" s="18">
        <f>K13*K65</f>
        <v/>
      </c>
      <c r="L66" s="18">
        <f>L13*L65</f>
        <v/>
      </c>
      <c r="M66" s="18">
        <f>M13*M65</f>
        <v/>
      </c>
      <c r="N66" s="18">
        <f>N13*N65</f>
        <v/>
      </c>
      <c r="O66" s="18">
        <f>O13*O65</f>
        <v/>
      </c>
    </row>
    <row r="67">
      <c r="A67" t="inlineStr">
        <is>
          <t xml:space="preserve">  net working capital at 2026-06-30, the base the first step runs off</t>
        </is>
      </c>
      <c r="B67" s="13" t="n">
        <v>307</v>
      </c>
    </row>
    <row r="68">
      <c r="A68" t="inlineStr">
        <is>
          <t xml:space="preserve">  memo: the same, from the filed balance sheet</t>
        </is>
      </c>
      <c r="B68" s="24" t="n">
        <v>306.712</v>
      </c>
    </row>
    <row r="69">
      <c r="A69" t="inlineStr">
        <is>
          <t xml:space="preserve">  increase in net working capital  (cash absorbed)</t>
        </is>
      </c>
      <c r="F69" s="18">
        <f>F66-$B$67</f>
        <v/>
      </c>
      <c r="G69" s="18">
        <f>G66-F66</f>
        <v/>
      </c>
      <c r="H69" s="18">
        <f>H66-G66</f>
        <v/>
      </c>
      <c r="I69" s="18">
        <f>I66-H66</f>
        <v/>
      </c>
      <c r="J69" s="18">
        <f>J66-I66</f>
        <v/>
      </c>
      <c r="K69" s="18">
        <f>K66-J66</f>
        <v/>
      </c>
      <c r="L69" s="18">
        <f>L66-K66</f>
        <v/>
      </c>
      <c r="M69" s="18">
        <f>M66-L66</f>
        <v/>
      </c>
      <c r="N69" s="18">
        <f>N66-M66</f>
        <v/>
      </c>
      <c r="O69" s="18">
        <f>O66-N66</f>
        <v/>
      </c>
    </row>
    <row r="70">
      <c r="A70" s="5" t="inlineStr">
        <is>
          <t>FREE CASH FLOW  (unlevered)</t>
        </is>
      </c>
      <c r="F70" s="14">
        <f>F57+F52-F64-F69</f>
        <v/>
      </c>
      <c r="G70" s="14">
        <f>G57+G52-G64-G69</f>
        <v/>
      </c>
      <c r="H70" s="14">
        <f>H57+H52-H64-H69</f>
        <v/>
      </c>
      <c r="I70" s="14">
        <f>I57+I52-I64-I69</f>
        <v/>
      </c>
      <c r="J70" s="14">
        <f>J57+J52-J64-J69</f>
        <v/>
      </c>
      <c r="K70" s="14">
        <f>K57+K52-K64-K69</f>
        <v/>
      </c>
      <c r="L70" s="14">
        <f>L57+L52-L64-L69</f>
        <v/>
      </c>
      <c r="M70" s="14">
        <f>M57+M52-M64-M69</f>
        <v/>
      </c>
      <c r="N70" s="14">
        <f>N57+N52-N64-N69</f>
        <v/>
      </c>
      <c r="O70" s="14">
        <f>O57+O52-O64-O69</f>
        <v/>
      </c>
    </row>
    <row r="71">
      <c r="A71" t="inlineStr">
        <is>
          <t xml:space="preserve">  memo: free cash flow as filed  (operating cash flow less capital spending)</t>
        </is>
      </c>
      <c r="B71" s="24" t="n">
        <v>-22.237</v>
      </c>
      <c r="C71" s="24" t="n">
        <v>-119.724</v>
      </c>
      <c r="D71" s="24" t="n">
        <v>-384.658</v>
      </c>
    </row>
    <row r="72"/>
    <row r="73">
      <c r="A73" s="3" t="inlineStr">
        <is>
          <t>TIE TO THE FILED STATEMENTS  -  the totals as filed, against this sheet's own reading of the archive</t>
        </is>
      </c>
      <c r="B73" s="4" t="n"/>
      <c r="C73" s="4" t="n"/>
      <c r="D73" s="4" t="n"/>
      <c r="E73" s="4" t="n"/>
      <c r="F73" s="4" t="n"/>
      <c r="G73" s="4" t="n"/>
      <c r="H73" s="4" t="n"/>
      <c r="I73" s="4" t="n"/>
      <c r="J73" s="4" t="n"/>
      <c r="K73" s="4" t="n"/>
      <c r="L73" s="4" t="n"/>
      <c r="M73" s="4" t="n"/>
      <c r="N73" s="4" t="n"/>
      <c r="O73" s="4" t="n"/>
    </row>
    <row r="74">
      <c r="A74" t="inlineStr">
        <is>
          <t xml:space="preserve">  total revenue, as filed</t>
        </is>
      </c>
      <c r="B74" s="24" t="n">
        <v>217.646</v>
      </c>
      <c r="C74" s="24" t="n">
        <v>249.365</v>
      </c>
      <c r="D74" s="24" t="n">
        <v>455.715</v>
      </c>
      <c r="E74" s="24" t="n">
        <v>343.066</v>
      </c>
    </row>
    <row r="75">
      <c r="A75" t="inlineStr">
        <is>
          <t xml:space="preserve">  gross profit, as filed</t>
        </is>
      </c>
      <c r="B75" s="24" t="n">
        <v>58.921</v>
      </c>
      <c r="C75" s="24" t="n">
        <v>61.8</v>
      </c>
      <c r="D75" s="24" t="n">
        <v>136.913</v>
      </c>
      <c r="E75" s="24" t="n">
        <v>97.123</v>
      </c>
    </row>
    <row r="76">
      <c r="A76" t="inlineStr">
        <is>
          <t xml:space="preserve">  operating income, as filed</t>
        </is>
      </c>
      <c r="B76" s="24" t="n">
        <v>-41.349</v>
      </c>
      <c r="C76" s="24" t="n">
        <v>-70.908</v>
      </c>
      <c r="D76" s="24" t="n">
        <v>-54.602</v>
      </c>
      <c r="E76" s="24" t="n">
        <v>-37.718</v>
      </c>
    </row>
    <row r="77">
      <c r="A77" t="inlineStr">
        <is>
          <t xml:space="preserve">  net income (loss), as filed</t>
        </is>
      </c>
      <c r="B77" s="24" t="n">
        <v>-56.048</v>
      </c>
      <c r="C77" s="24" t="n">
        <v>-186.733</v>
      </c>
      <c r="D77" s="24" t="n">
        <v>-38.228</v>
      </c>
      <c r="E77" s="24" t="n">
        <v>-37.062</v>
      </c>
    </row>
    <row r="78"/>
    <row r="79">
      <c r="A79" s="3" t="inlineStr">
        <is>
          <t>THE YEAR 2026, WHERE THE TWO HALVES ADD</t>
        </is>
      </c>
      <c r="B79" s="4" t="n"/>
      <c r="C79" s="4" t="n"/>
      <c r="D79" s="4" t="n"/>
      <c r="E79" s="4" t="n"/>
      <c r="F79" s="4" t="n"/>
      <c r="G79" s="4" t="n"/>
      <c r="H79" s="4" t="n"/>
      <c r="I79" s="4" t="n"/>
      <c r="J79" s="4" t="n"/>
      <c r="K79" s="4" t="n"/>
      <c r="L79" s="4" t="n"/>
      <c r="M79" s="4" t="n"/>
      <c r="N79" s="4" t="n"/>
      <c r="O79" s="4" t="n"/>
    </row>
    <row r="80">
      <c r="A80" s="7" t="inlineStr">
        <is>
          <t>Only revenue adds. The filed half's cost of revenue carries depreciation and its operating expense carries stock compensation, and the estimated half's carry neither, so every other line would be a figure on two bases. The Estimates sheet compares this row against the vendor's own full-year revenue line and stops there.</t>
        </is>
      </c>
    </row>
    <row r="81">
      <c r="A81" s="5" t="inlineStr">
        <is>
          <t xml:space="preserve">  FY2026E total revenue  -  the filed half plus the estimated half</t>
        </is>
      </c>
      <c r="B81" s="12">
        <f>E13+F13</f>
        <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L43"/>
  <sheetViews>
    <sheetView workbookViewId="0">
      <pane xSplit="2" ySplit="4" topLeftCell="C5" activePane="bottomRight" state="frozen"/>
      <selection pane="topRight"/>
      <selection pane="bottomLeft"/>
      <selection pane="bottomRight" activeCell="A1" sqref="A1"/>
    </sheetView>
  </sheetViews>
  <sheetFormatPr baseColWidth="8" defaultRowHeight="15" outlineLevelCol="0"/>
  <cols>
    <col width="62" customWidth="1" min="1" max="1"/>
    <col width="15"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ht="22" customHeight="1">
      <c r="A1" s="1" t="inlineStr">
        <is>
          <t>Applied Optoelectronics  |  Valuation  |  enterprise discounted cash flow, $ millions</t>
        </is>
      </c>
      <c r="B1" s="2" t="n"/>
      <c r="C1" s="2" t="n"/>
      <c r="D1" s="2" t="n"/>
      <c r="E1" s="2" t="n"/>
      <c r="F1" s="2" t="n"/>
      <c r="G1" s="2" t="n"/>
      <c r="H1" s="2" t="n"/>
      <c r="I1" s="2" t="n"/>
      <c r="J1" s="2" t="n"/>
      <c r="K1" s="2" t="n"/>
      <c r="L1" s="2" t="n"/>
    </row>
    <row r="2"/>
    <row r="3">
      <c r="A3" s="7" t="inlineStr">
        <is>
          <t>One operating path, read two ways. The discounting is the model of record's: the clock starts at the value date on the Summary sheet, the second half of 2026 is discounted at the middle of what remains of the year, every later year at its own mid-point, and each year compounds at its own rate.</t>
        </is>
      </c>
    </row>
    <row r="4">
      <c r="A4" s="7" t="inlineStr">
        <is>
          <t>The rate schedule, the perpetual growth rate, the exit year and the exit multiple are all editable.</t>
        </is>
      </c>
    </row>
    <row r="5">
      <c r="C5" s="19" t="inlineStr">
        <is>
          <t>H2 2026E</t>
        </is>
      </c>
      <c r="D5" s="19" t="inlineStr">
        <is>
          <t>2027E</t>
        </is>
      </c>
      <c r="E5" s="19" t="inlineStr">
        <is>
          <t>2028E</t>
        </is>
      </c>
      <c r="F5" s="19" t="inlineStr">
        <is>
          <t>2029E</t>
        </is>
      </c>
      <c r="G5" s="19" t="inlineStr">
        <is>
          <t>2030E</t>
        </is>
      </c>
      <c r="H5" s="19" t="inlineStr">
        <is>
          <t>2031E</t>
        </is>
      </c>
      <c r="I5" s="19" t="inlineStr">
        <is>
          <t>2032E</t>
        </is>
      </c>
      <c r="J5" s="19" t="inlineStr">
        <is>
          <t>2033E</t>
        </is>
      </c>
      <c r="K5" s="19" t="inlineStr">
        <is>
          <t>2034E</t>
        </is>
      </c>
      <c r="L5" s="19" t="inlineStr">
        <is>
          <t>2035E</t>
        </is>
      </c>
    </row>
    <row r="6">
      <c r="A6" s="3" t="inlineStr">
        <is>
          <t>THE EXPLICIT PERIODS</t>
        </is>
      </c>
      <c r="B6" s="4" t="n"/>
      <c r="C6" s="4" t="n"/>
      <c r="D6" s="4" t="n"/>
      <c r="E6" s="4" t="n"/>
      <c r="F6" s="4" t="n"/>
      <c r="G6" s="4" t="n"/>
      <c r="H6" s="4" t="n"/>
      <c r="I6" s="4" t="n"/>
      <c r="J6" s="4" t="n"/>
      <c r="K6" s="4" t="n"/>
      <c r="L6" s="4" t="n"/>
    </row>
    <row r="7">
      <c r="A7" s="5" t="inlineStr">
        <is>
          <t>Free cash flow</t>
        </is>
      </c>
      <c r="C7" s="12">
        <f>Financials!F70</f>
        <v/>
      </c>
      <c r="D7" s="12">
        <f>Financials!G70</f>
        <v/>
      </c>
      <c r="E7" s="12">
        <f>Financials!H70</f>
        <v/>
      </c>
      <c r="F7" s="12">
        <f>Financials!I70</f>
        <v/>
      </c>
      <c r="G7" s="12">
        <f>Financials!J70</f>
        <v/>
      </c>
      <c r="H7" s="12">
        <f>Financials!K70</f>
        <v/>
      </c>
      <c r="I7" s="12">
        <f>Financials!L70</f>
        <v/>
      </c>
      <c r="J7" s="12">
        <f>Financials!M70</f>
        <v/>
      </c>
      <c r="K7" s="12">
        <f>Financials!N70</f>
        <v/>
      </c>
      <c r="L7" s="12">
        <f>Financials!O70</f>
        <v/>
      </c>
    </row>
    <row r="8">
      <c r="A8" t="inlineStr">
        <is>
          <t>Discount rate  (the schedule - editable)</t>
        </is>
      </c>
      <c r="C8" s="23" t="n">
        <v>0.11</v>
      </c>
      <c r="D8" s="23" t="n">
        <v>0.11</v>
      </c>
      <c r="E8" s="23" t="n">
        <v>0.11</v>
      </c>
      <c r="F8" s="23" t="n">
        <v>0.105</v>
      </c>
      <c r="G8" s="23" t="n">
        <v>0.105</v>
      </c>
      <c r="H8" s="23" t="n">
        <v>0.1</v>
      </c>
      <c r="I8" s="23" t="n">
        <v>0.1</v>
      </c>
      <c r="J8" s="23" t="n">
        <v>0.095</v>
      </c>
      <c r="K8" s="23" t="n">
        <v>0.095</v>
      </c>
      <c r="L8" s="23" t="n">
        <v>0.095</v>
      </c>
    </row>
    <row r="9">
      <c r="A9" t="inlineStr">
        <is>
          <t>Fraction of 2026 remaining after the value date</t>
        </is>
      </c>
      <c r="B9" s="30" t="n">
        <v>0.367123287671233</v>
      </c>
    </row>
    <row r="10">
      <c r="A10" t="inlineStr">
        <is>
          <t xml:space="preserve">  period length  (years)</t>
        </is>
      </c>
      <c r="C10" s="31">
        <f>$B$9</f>
        <v/>
      </c>
      <c r="D10" s="30" t="n">
        <v>1</v>
      </c>
      <c r="E10" s="30" t="n">
        <v>1</v>
      </c>
      <c r="F10" s="30" t="n">
        <v>1</v>
      </c>
      <c r="G10" s="30" t="n">
        <v>1</v>
      </c>
      <c r="H10" s="30" t="n">
        <v>1</v>
      </c>
      <c r="I10" s="30" t="n">
        <v>1</v>
      </c>
      <c r="J10" s="30" t="n">
        <v>1</v>
      </c>
      <c r="K10" s="30" t="n">
        <v>1</v>
      </c>
      <c r="L10" s="30" t="n">
        <v>1</v>
      </c>
    </row>
    <row r="11">
      <c r="A11" t="inlineStr">
        <is>
          <t xml:space="preserve">  years from the value date to the middle of the period</t>
        </is>
      </c>
      <c r="C11" s="31">
        <f>$B$9/2</f>
        <v/>
      </c>
      <c r="D11" s="31">
        <f>$B$9+0.5</f>
        <v/>
      </c>
      <c r="E11" s="31">
        <f>$B$9+1.5</f>
        <v/>
      </c>
      <c r="F11" s="31">
        <f>$B$9+2.5</f>
        <v/>
      </c>
      <c r="G11" s="31">
        <f>$B$9+3.5</f>
        <v/>
      </c>
      <c r="H11" s="31">
        <f>$B$9+4.5</f>
        <v/>
      </c>
      <c r="I11" s="31">
        <f>$B$9+5.5</f>
        <v/>
      </c>
      <c r="J11" s="31">
        <f>$B$9+6.5</f>
        <v/>
      </c>
      <c r="K11" s="31">
        <f>$B$9+7.5</f>
        <v/>
      </c>
      <c r="L11" s="31">
        <f>$B$9+8.5</f>
        <v/>
      </c>
    </row>
    <row r="12">
      <c r="A12" t="inlineStr">
        <is>
          <t xml:space="preserve">  discount factor at the start of the period</t>
        </is>
      </c>
      <c r="C12" s="31">
        <f>1</f>
        <v/>
      </c>
      <c r="D12" s="31">
        <f>C13</f>
        <v/>
      </c>
      <c r="E12" s="31">
        <f>D13</f>
        <v/>
      </c>
      <c r="F12" s="31">
        <f>E13</f>
        <v/>
      </c>
      <c r="G12" s="31">
        <f>F13</f>
        <v/>
      </c>
      <c r="H12" s="31">
        <f>G13</f>
        <v/>
      </c>
      <c r="I12" s="31">
        <f>H13</f>
        <v/>
      </c>
      <c r="J12" s="31">
        <f>I13</f>
        <v/>
      </c>
      <c r="K12" s="31">
        <f>J13</f>
        <v/>
      </c>
      <c r="L12" s="31">
        <f>K13</f>
        <v/>
      </c>
    </row>
    <row r="13">
      <c r="A13" t="inlineStr">
        <is>
          <t xml:space="preserve">  discount factor at the end of the period</t>
        </is>
      </c>
      <c r="C13" s="31">
        <f>C12/(1+C8)^C10</f>
        <v/>
      </c>
      <c r="D13" s="31">
        <f>D12/(1+D8)^D10</f>
        <v/>
      </c>
      <c r="E13" s="31">
        <f>E12/(1+E8)^E10</f>
        <v/>
      </c>
      <c r="F13" s="31">
        <f>F12/(1+F8)^F10</f>
        <v/>
      </c>
      <c r="G13" s="31">
        <f>G12/(1+G8)^G10</f>
        <v/>
      </c>
      <c r="H13" s="31">
        <f>H12/(1+H8)^H10</f>
        <v/>
      </c>
      <c r="I13" s="31">
        <f>I12/(1+I8)^I10</f>
        <v/>
      </c>
      <c r="J13" s="31">
        <f>J12/(1+J8)^J10</f>
        <v/>
      </c>
      <c r="K13" s="31">
        <f>K12/(1+K8)^K10</f>
        <v/>
      </c>
      <c r="L13" s="31">
        <f>L12/(1+L8)^L10</f>
        <v/>
      </c>
    </row>
    <row r="14">
      <c r="A14" t="inlineStr">
        <is>
          <t xml:space="preserve">  discount factor at the middle of the period  (the flows arrive mid-period)</t>
        </is>
      </c>
      <c r="C14" s="31">
        <f>C12/(1+C8)^(C10*0.5)</f>
        <v/>
      </c>
      <c r="D14" s="31">
        <f>D12/(1+D8)^(D10*0.5)</f>
        <v/>
      </c>
      <c r="E14" s="31">
        <f>E12/(1+E8)^(E10*0.5)</f>
        <v/>
      </c>
      <c r="F14" s="31">
        <f>F12/(1+F8)^(F10*0.5)</f>
        <v/>
      </c>
      <c r="G14" s="31">
        <f>G12/(1+G8)^(G10*0.5)</f>
        <v/>
      </c>
      <c r="H14" s="31">
        <f>H12/(1+H8)^(H10*0.5)</f>
        <v/>
      </c>
      <c r="I14" s="31">
        <f>I12/(1+I8)^(I10*0.5)</f>
        <v/>
      </c>
      <c r="J14" s="31">
        <f>J12/(1+J8)^(J10*0.5)</f>
        <v/>
      </c>
      <c r="K14" s="31">
        <f>K12/(1+K8)^(K10*0.5)</f>
        <v/>
      </c>
      <c r="L14" s="31">
        <f>L12/(1+L8)^(L10*0.5)</f>
        <v/>
      </c>
    </row>
    <row r="15">
      <c r="A15" s="5" t="inlineStr">
        <is>
          <t>Present value of the period's free cash flow</t>
        </is>
      </c>
      <c r="C15" s="12">
        <f>C7*C14</f>
        <v/>
      </c>
      <c r="D15" s="12">
        <f>D7*D14</f>
        <v/>
      </c>
      <c r="E15" s="12">
        <f>E7*E14</f>
        <v/>
      </c>
      <c r="F15" s="12">
        <f>F7*F14</f>
        <v/>
      </c>
      <c r="G15" s="12">
        <f>G7*G14</f>
        <v/>
      </c>
      <c r="H15" s="12">
        <f>H7*H14</f>
        <v/>
      </c>
      <c r="I15" s="12">
        <f>I7*I14</f>
        <v/>
      </c>
      <c r="J15" s="12">
        <f>J7*J14</f>
        <v/>
      </c>
      <c r="K15" s="12">
        <f>K7*K14</f>
        <v/>
      </c>
      <c r="L15" s="12">
        <f>L7*L14</f>
        <v/>
      </c>
    </row>
    <row r="16"/>
    <row r="17">
      <c r="A17" s="3" t="inlineStr">
        <is>
          <t>INSTRUMENT A  -  the window to 2035, then a perpetuity</t>
        </is>
      </c>
      <c r="B17" s="4" t="n"/>
      <c r="C17" s="4" t="n"/>
      <c r="D17" s="4" t="n"/>
      <c r="E17" s="4" t="n"/>
      <c r="F17" s="4" t="n"/>
      <c r="G17" s="4" t="n"/>
      <c r="H17" s="4" t="n"/>
      <c r="I17" s="4" t="n"/>
      <c r="J17" s="4" t="n"/>
      <c r="K17" s="4" t="n"/>
      <c r="L17" s="4" t="n"/>
    </row>
    <row r="18">
      <c r="A18" t="inlineStr">
        <is>
          <t>Present value of the explicit flows, H2 2026 to 2035</t>
        </is>
      </c>
      <c r="B18" s="18">
        <f>SUM(C15:L15)</f>
        <v/>
      </c>
    </row>
    <row r="19">
      <c r="A19" t="inlineStr">
        <is>
          <t>Perpetual growth of free cash flow after 2035</t>
        </is>
      </c>
      <c r="B19" s="23" t="n">
        <v>0.045</v>
      </c>
    </row>
    <row r="20">
      <c r="A20" t="inlineStr">
        <is>
          <t>Terminal discount rate  (the schedule's own last period)</t>
        </is>
      </c>
      <c r="B20" s="11">
        <f>L8</f>
        <v/>
      </c>
    </row>
    <row r="21">
      <c r="A21" s="5" t="inlineStr">
        <is>
          <t>Terminal value at the end of 2035</t>
        </is>
      </c>
      <c r="B21" s="12">
        <f>L7*(1+$B$19)/($B$20-$B$19)*(1+$B$20)^0.5</f>
        <v/>
      </c>
    </row>
    <row r="22">
      <c r="A22" t="inlineStr">
        <is>
          <t xml:space="preserve">  the terminal as a multiple of 2035 EBITDA</t>
        </is>
      </c>
      <c r="B22" s="32">
        <f>$B$21/Financials!O51</f>
        <v/>
      </c>
    </row>
    <row r="23">
      <c r="A23" t="inlineStr">
        <is>
          <t xml:space="preserve">  present value of the terminal</t>
        </is>
      </c>
      <c r="B23" s="18">
        <f>$B$21*L13</f>
        <v/>
      </c>
    </row>
    <row r="24">
      <c r="A24" s="5" t="inlineStr">
        <is>
          <t>ENTERPRISE VALUE  -  instrument A</t>
        </is>
      </c>
      <c r="B24" s="14">
        <f>$B$18+$B$23</f>
        <v/>
      </c>
    </row>
    <row r="25">
      <c r="A25" t="inlineStr">
        <is>
          <t xml:space="preserve">  the terminal's share of it</t>
        </is>
      </c>
      <c r="B25" s="11">
        <f>$B$23/$B$24</f>
        <v/>
      </c>
    </row>
    <row r="26"/>
    <row r="27">
      <c r="A27" s="3" t="inlineStr">
        <is>
          <t>INSTRUMENT B  -  the window cut at the exit year, then an exit multiple</t>
        </is>
      </c>
      <c r="B27" s="4" t="n"/>
      <c r="C27" s="4" t="n"/>
      <c r="D27" s="4" t="n"/>
      <c r="E27" s="4" t="n"/>
      <c r="F27" s="4" t="n"/>
      <c r="G27" s="4" t="n"/>
      <c r="H27" s="4" t="n"/>
      <c r="I27" s="4" t="n"/>
      <c r="J27" s="4" t="n"/>
      <c r="K27" s="4" t="n"/>
      <c r="L27" s="4" t="n"/>
    </row>
    <row r="28">
      <c r="A28" t="inlineStr">
        <is>
          <t>Exit year</t>
        </is>
      </c>
      <c r="B28" s="33" t="n">
        <v>2031</v>
      </c>
    </row>
    <row r="29">
      <c r="A29" t="inlineStr">
        <is>
          <t>Exit EV/EBITDA on the exit year's EBITDA</t>
        </is>
      </c>
      <c r="B29" s="34" t="n">
        <v>14.9</v>
      </c>
    </row>
    <row r="30">
      <c r="A30" t="inlineStr">
        <is>
          <t>Present value of the explicit flows to the exit year</t>
        </is>
      </c>
      <c r="B30" s="18">
        <f>SUM(C15:H15)</f>
        <v/>
      </c>
    </row>
    <row r="31">
      <c r="A31" s="5" t="inlineStr">
        <is>
          <t>Exit value at the end of the exit year</t>
        </is>
      </c>
      <c r="B31" s="12">
        <f>$B$29*Financials!K51</f>
        <v/>
      </c>
    </row>
    <row r="32">
      <c r="A32" t="inlineStr">
        <is>
          <t xml:space="preserve">  present value of the exit value</t>
        </is>
      </c>
      <c r="B32" s="18">
        <f>$B$31*H13</f>
        <v/>
      </c>
    </row>
    <row r="33">
      <c r="A33" s="5" t="inlineStr">
        <is>
          <t>ENTERPRISE VALUE  -  instrument B</t>
        </is>
      </c>
      <c r="B33" s="14">
        <f>$B$30+$B$32</f>
        <v/>
      </c>
    </row>
    <row r="34">
      <c r="A34" t="inlineStr">
        <is>
          <t xml:space="preserve">  the exit value's share of it</t>
        </is>
      </c>
      <c r="B34" s="11">
        <f>$B$32/$B$33</f>
        <v/>
      </c>
    </row>
    <row r="35">
      <c r="A35" s="5" t="inlineStr">
        <is>
          <t>The exit multiple the path's own later flows imply at the exit year</t>
        </is>
      </c>
      <c r="B35" s="10">
        <f>((I7*I14+J7*J14+K7*K14+L7*L14)+$B$21*L13)/H13/Financials!K51</f>
        <v/>
      </c>
    </row>
    <row r="36"/>
    <row r="37">
      <c r="A37" s="3" t="inlineStr">
        <is>
          <t>THE VALUE</t>
        </is>
      </c>
      <c r="B37" s="4" t="n"/>
      <c r="C37" s="4" t="n"/>
      <c r="D37" s="4" t="n"/>
      <c r="E37" s="4" t="n"/>
      <c r="F37" s="4" t="n"/>
      <c r="G37" s="4" t="n"/>
      <c r="H37" s="4" t="n"/>
      <c r="I37" s="4" t="n"/>
      <c r="J37" s="4" t="n"/>
      <c r="K37" s="4" t="n"/>
      <c r="L37" s="4" t="n"/>
    </row>
    <row r="38">
      <c r="A38" t="inlineStr">
        <is>
          <t xml:space="preserve">  plus the bridge  (from Summary)</t>
        </is>
      </c>
      <c r="B38" s="18">
        <f>Summary!$B$20</f>
        <v/>
      </c>
    </row>
    <row r="39">
      <c r="A39" s="5" t="inlineStr">
        <is>
          <t>EQUITY VALUE  -  instrument A</t>
        </is>
      </c>
      <c r="B39" s="12">
        <f>$B$24+$B$38</f>
        <v/>
      </c>
    </row>
    <row r="40">
      <c r="A40" s="5" t="inlineStr">
        <is>
          <t>EQUITY VALUE  -  instrument B</t>
        </is>
      </c>
      <c r="B40" s="12">
        <f>$B$33+$B$38</f>
        <v/>
      </c>
    </row>
    <row r="41">
      <c r="A41" t="inlineStr">
        <is>
          <t xml:space="preserve">  the count the valuation uses  (from Summary)</t>
        </is>
      </c>
      <c r="B41" s="27">
        <f>Summary!$B$31</f>
        <v/>
      </c>
    </row>
    <row r="42">
      <c r="A42" s="5" t="inlineStr">
        <is>
          <t>VALUE PER SHARE  -  instrument A</t>
        </is>
      </c>
      <c r="B42" s="6">
        <f>$B$39/$B$41</f>
        <v/>
      </c>
    </row>
    <row r="43">
      <c r="A43" s="5" t="inlineStr">
        <is>
          <t>VALUE PER SHARE  -  instrument B</t>
        </is>
      </c>
      <c r="B43" s="6">
        <f>$B$40/$B$41</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E53"/>
  <sheetViews>
    <sheetView workbookViewId="0">
      <pane xSplit="1" ySplit="7" topLeftCell="B8" activePane="bottomRight" state="frozen"/>
      <selection pane="topRight"/>
      <selection pane="bottomLeft"/>
      <selection pane="bottomRight" activeCell="A1" sqref="A1"/>
    </sheetView>
  </sheetViews>
  <sheetFormatPr baseColWidth="8" defaultRowHeight="15" outlineLevelCol="0"/>
  <cols>
    <col width="96" customWidth="1" min="1" max="1"/>
    <col width="14" customWidth="1" min="2" max="2"/>
    <col width="14" customWidth="1" min="3" max="3"/>
    <col width="14" customWidth="1" min="4" max="4"/>
    <col width="62" customWidth="1" min="5" max="5"/>
  </cols>
  <sheetData>
    <row r="1" ht="22" customHeight="1">
      <c r="A1" s="1" t="inlineStr">
        <is>
          <t>Applied Optoelectronics  |  This model's estimates against published consensus</t>
        </is>
      </c>
      <c r="B1" s="2" t="n"/>
      <c r="C1" s="2" t="n"/>
      <c r="D1" s="2" t="n"/>
      <c r="E1" s="2" t="n"/>
    </row>
    <row r="2"/>
    <row r="3">
      <c r="A3" s="7" t="inlineStr">
        <is>
          <t>Consensus is S&amp;P Capital IQ, Estimates / Consensus, pulled 2026-08-16, re-pulled and verified line by line 2026-08-19 and snapshotted in evidence/. It is quoted as pulled: where the vendor carries no line for a year the cell is EMPTY and the contributor count says why. No consensus figure is constructed here and then labelled consensus.</t>
        </is>
      </c>
    </row>
    <row r="4">
      <c r="A4" s="7" t="inlineStr">
        <is>
          <t>This model's FY2026E column carries REVENUE only. Its 2026 is the second half alone, the filed first half is on a different basis line for line, and the filed half's depreciation is not in the archive - so revenue is the one line the two halves add on, and every other FY2026E cell on this model's side is left empty rather than approximated. Capital expenditure is shown as a positive outlay on both sides; the vendor reports it as a negative cash-flow item.</t>
        </is>
      </c>
    </row>
    <row r="5">
      <c r="A5" s="7" t="inlineStr">
        <is>
          <t>The contributor counts are the point as much as the levels: this name is covered by five or six estimators, they do not all publish every line, and the lines they do publish are assembled one at a time from whoever contributed that line. FY2027 EBIT of 546.0 sits ABOVE FY2027 EBITDA of 440.3, which is impossible for one company-year and is what a four-contributor line beside a two-contributor line looks like. Every FY2028 line is one analyst.</t>
        </is>
      </c>
    </row>
    <row r="6"/>
    <row r="7">
      <c r="A7" s="3" t="inlineStr">
        <is>
          <t>the line, and where each side's figure comes from</t>
        </is>
      </c>
      <c r="B7" s="19" t="inlineStr">
        <is>
          <t>FY2026E</t>
        </is>
      </c>
      <c r="C7" s="19" t="inlineStr">
        <is>
          <t>FY2027E</t>
        </is>
      </c>
      <c r="D7" s="19" t="inlineStr">
        <is>
          <t>FY2028E</t>
        </is>
      </c>
      <c r="E7" s="3" t="inlineStr">
        <is>
          <t>how the two differ</t>
        </is>
      </c>
    </row>
    <row r="8">
      <c r="A8" s="3" t="inlineStr">
        <is>
          <t>REVENUE</t>
        </is>
      </c>
      <c r="B8" s="4" t="n"/>
      <c r="C8" s="4" t="n"/>
      <c r="D8" s="4" t="n"/>
      <c r="E8" s="4" t="n"/>
    </row>
    <row r="9">
      <c r="A9" t="inlineStr">
        <is>
          <t xml:space="preserve">  this model</t>
        </is>
      </c>
      <c r="B9" s="12">
        <f>Financials!$B$81</f>
        <v/>
      </c>
      <c r="C9" s="12">
        <f>Financials!G13</f>
        <v/>
      </c>
      <c r="D9" s="12">
        <f>Financials!H13</f>
        <v/>
      </c>
      <c r="E9" s="35" t="inlineStr">
        <is>
          <t>The same line on both sides. FY2026E is the filed half plus the estimated half; the later years are whole model years.</t>
        </is>
      </c>
    </row>
    <row r="10">
      <c r="A10" t="inlineStr">
        <is>
          <t xml:space="preserve">  consensus, mean</t>
        </is>
      </c>
      <c r="B10" s="24" t="n">
        <v>1038.43</v>
      </c>
      <c r="C10" s="24" t="n">
        <v>2663.34</v>
      </c>
      <c r="D10" s="24" t="n">
        <v>3964.3</v>
      </c>
    </row>
    <row r="11">
      <c r="A11" t="inlineStr">
        <is>
          <t xml:space="preserve">    contributors to that line</t>
        </is>
      </c>
      <c r="B11" s="36" t="n">
        <v>5</v>
      </c>
      <c r="C11" s="36" t="n">
        <v>4</v>
      </c>
      <c r="D11" s="36" t="n">
        <v>1</v>
      </c>
    </row>
    <row r="12">
      <c r="A12" t="inlineStr">
        <is>
          <t xml:space="preserve">  this model, less consensus</t>
        </is>
      </c>
      <c r="B12" s="18">
        <f>B9-B10</f>
        <v/>
      </c>
      <c r="C12" s="18">
        <f>C9-C10</f>
        <v/>
      </c>
      <c r="D12" s="18">
        <f>D9-D10</f>
        <v/>
      </c>
    </row>
    <row r="13">
      <c r="A13" t="inlineStr">
        <is>
          <t xml:space="preserve">    as a share of consensus</t>
        </is>
      </c>
      <c r="B13" s="11">
        <f>B9/B10-1</f>
        <v/>
      </c>
      <c r="C13" s="11">
        <f>C9/C10-1</f>
        <v/>
      </c>
      <c r="D13" s="11">
        <f>D9/D10-1</f>
        <v/>
      </c>
    </row>
    <row r="14"/>
    <row r="15">
      <c r="A15" s="3" t="inlineStr">
        <is>
          <t>GROSS MARGIN</t>
        </is>
      </c>
      <c r="B15" s="4" t="n"/>
      <c r="C15" s="4" t="n"/>
      <c r="D15" s="4" t="n"/>
      <c r="E15" s="4" t="n"/>
    </row>
    <row r="16">
      <c r="A16" t="inlineStr">
        <is>
          <t xml:space="preserve">  this model</t>
        </is>
      </c>
      <c r="C16" s="26">
        <f>Financials!G41</f>
        <v/>
      </c>
      <c r="D16" s="26">
        <f>Financials!H41</f>
        <v/>
      </c>
      <c r="E16" s="35" t="inlineStr">
        <is>
          <t>This model AFTER charging all of the period's depreciation to cost, which is the basis the company reports on and the stricter of the two. FY2026E is left out: the model's 2026 is a half-year and the filed half's depreciation is not in the archive, so the year's margin cannot be built without typing a figure. The model is BELOW consensus in both years shown.</t>
        </is>
      </c>
    </row>
    <row r="17">
      <c r="A17" t="inlineStr">
        <is>
          <t xml:space="preserve">  consensus, mean</t>
        </is>
      </c>
      <c r="B17" s="37" t="n">
        <v>0.3044</v>
      </c>
      <c r="C17" s="37" t="n">
        <v>0.3373</v>
      </c>
      <c r="D17" s="37" t="n">
        <v>0.376</v>
      </c>
    </row>
    <row r="18">
      <c r="A18" t="inlineStr">
        <is>
          <t xml:space="preserve">    contributors to that line</t>
        </is>
      </c>
      <c r="B18" s="36" t="n">
        <v>5</v>
      </c>
      <c r="C18" s="36" t="n">
        <v>4</v>
      </c>
      <c r="D18" s="36" t="n">
        <v>1</v>
      </c>
    </row>
    <row r="19">
      <c r="A19" t="inlineStr">
        <is>
          <t xml:space="preserve">  this model, less consensus</t>
        </is>
      </c>
      <c r="C19" s="11">
        <f>C16-C17</f>
        <v/>
      </c>
      <c r="D19" s="11">
        <f>D16-D17</f>
        <v/>
      </c>
    </row>
    <row r="20"/>
    <row r="21">
      <c r="A21" s="3" t="inlineStr">
        <is>
          <t>EBITDA</t>
        </is>
      </c>
      <c r="B21" s="4" t="n"/>
      <c r="C21" s="4" t="n"/>
      <c r="D21" s="4" t="n"/>
      <c r="E21" s="4" t="n"/>
    </row>
    <row r="22">
      <c r="A22" t="inlineStr">
        <is>
          <t xml:space="preserve">  this model</t>
        </is>
      </c>
      <c r="C22" s="12">
        <f>Financials!G51</f>
        <v/>
      </c>
      <c r="D22" s="12">
        <f>Financials!H51</f>
        <v/>
      </c>
      <c r="E22" s="35" t="inlineStr">
        <is>
          <t>Not the same definition on both sides, and the gap is not all disagreement: this model's EBITDA carries no stock compensation as an expense - it is charged once, in the share count - and no interest income. The vendor's FY2027 line has two contributors and contradicts its own four-contributor EBIT line.</t>
        </is>
      </c>
    </row>
    <row r="23">
      <c r="A23" t="inlineStr">
        <is>
          <t xml:space="preserve">  consensus, mean</t>
        </is>
      </c>
      <c r="B23" s="24" t="n">
        <v>118.24</v>
      </c>
      <c r="C23" s="24" t="n">
        <v>440.26</v>
      </c>
    </row>
    <row r="24">
      <c r="A24" t="inlineStr">
        <is>
          <t xml:space="preserve">    contributors to that line</t>
        </is>
      </c>
      <c r="B24" s="36" t="n">
        <v>1</v>
      </c>
      <c r="C24" s="36" t="n">
        <v>2</v>
      </c>
      <c r="D24" s="36" t="n">
        <v>0</v>
      </c>
      <c r="E24" s="7" t="inlineStr">
        <is>
          <t>no contributor publishes this line for FY2028, so the cell above is empty rather than constructed</t>
        </is>
      </c>
    </row>
    <row r="25">
      <c r="A25" t="inlineStr">
        <is>
          <t xml:space="preserve">  this model, less consensus</t>
        </is>
      </c>
      <c r="C25" s="18">
        <f>C22-C23</f>
        <v/>
      </c>
    </row>
    <row r="26">
      <c r="A26" t="inlineStr">
        <is>
          <t xml:space="preserve">    as a share of consensus</t>
        </is>
      </c>
      <c r="C26" s="11">
        <f>C22/C23-1</f>
        <v/>
      </c>
    </row>
    <row r="27"/>
    <row r="28">
      <c r="A28" s="3" t="inlineStr">
        <is>
          <t>OPERATING PROFIT (EBIT)</t>
        </is>
      </c>
      <c r="B28" s="4" t="n"/>
      <c r="C28" s="4" t="n"/>
      <c r="D28" s="4" t="n"/>
      <c r="E28" s="4" t="n"/>
    </row>
    <row r="29">
      <c r="A29" t="inlineStr">
        <is>
          <t xml:space="preserve">  this model</t>
        </is>
      </c>
      <c r="C29" s="12">
        <f>Financials!G53</f>
        <v/>
      </c>
      <c r="D29" s="12">
        <f>Financials!H53</f>
        <v/>
      </c>
      <c r="E29" s="35" t="inlineStr">
        <is>
          <t>The vendor's best-covered profit line - four contributors in FY2027 against two on EBITDA - and the one worth reading. Backing operating expense out of it gives a cost base slightly BELOW what this model charges, so the model is not winning on cost.</t>
        </is>
      </c>
    </row>
    <row r="30">
      <c r="A30" t="inlineStr">
        <is>
          <t xml:space="preserve">  consensus, mean</t>
        </is>
      </c>
      <c r="B30" s="24" t="n">
        <v>47.9</v>
      </c>
      <c r="C30" s="24" t="n">
        <v>546</v>
      </c>
      <c r="D30" s="24" t="n">
        <v>1118.6</v>
      </c>
    </row>
    <row r="31">
      <c r="A31" t="inlineStr">
        <is>
          <t xml:space="preserve">    contributors to that line</t>
        </is>
      </c>
      <c r="B31" s="36" t="n">
        <v>5</v>
      </c>
      <c r="C31" s="36" t="n">
        <v>4</v>
      </c>
      <c r="D31" s="36" t="n">
        <v>1</v>
      </c>
    </row>
    <row r="32">
      <c r="A32" t="inlineStr">
        <is>
          <t xml:space="preserve">  this model, less consensus</t>
        </is>
      </c>
      <c r="C32" s="18">
        <f>C29-C30</f>
        <v/>
      </c>
      <c r="D32" s="18">
        <f>D29-D30</f>
        <v/>
      </c>
    </row>
    <row r="33">
      <c r="A33" t="inlineStr">
        <is>
          <t xml:space="preserve">    as a share of consensus</t>
        </is>
      </c>
      <c r="C33" s="11">
        <f>C29/C30-1</f>
        <v/>
      </c>
      <c r="D33" s="11">
        <f>D29/D30-1</f>
        <v/>
      </c>
    </row>
    <row r="34"/>
    <row r="35">
      <c r="A35" s="3" t="inlineStr">
        <is>
          <t>EARNINGS PER SHARE</t>
        </is>
      </c>
      <c r="B35" s="4" t="n"/>
      <c r="C35" s="4" t="n"/>
      <c r="D35" s="4" t="n"/>
      <c r="E35" s="4" t="n"/>
    </row>
    <row r="36">
      <c r="A36" t="inlineStr">
        <is>
          <t xml:space="preserve">  this model</t>
        </is>
      </c>
      <c r="C36" s="28">
        <f>Financials!G60</f>
        <v/>
      </c>
      <c r="D36" s="28">
        <f>Financials!H60</f>
        <v/>
      </c>
      <c r="E36" s="35" t="inlineStr">
        <is>
          <t>Different definitions and different denominators. This model divides operating profit after cash tax by a fully diluted count of 106.3 million, with no interest income on a large cash balance. The vendor's normalized line carries interest income and excludes exceptional items, and its own FY2027 net income beside its own FY2027 EPS implies about 110 million shares - more dilution than this model carries, not less.</t>
        </is>
      </c>
    </row>
    <row r="37">
      <c r="A37" t="inlineStr">
        <is>
          <t xml:space="preserve">  consensus, mean</t>
        </is>
      </c>
      <c r="B37" s="29" t="n">
        <v>0.68</v>
      </c>
      <c r="C37" s="29" t="n">
        <v>4.6</v>
      </c>
      <c r="D37" s="29" t="n">
        <v>8.91</v>
      </c>
    </row>
    <row r="38">
      <c r="A38" t="inlineStr">
        <is>
          <t xml:space="preserve">    contributors to that line</t>
        </is>
      </c>
      <c r="B38" s="36" t="n">
        <v>6</v>
      </c>
      <c r="C38" s="36" t="n">
        <v>5</v>
      </c>
      <c r="D38" s="36" t="n">
        <v>1</v>
      </c>
    </row>
    <row r="39">
      <c r="A39" t="inlineStr">
        <is>
          <t xml:space="preserve">  this model, less consensus</t>
        </is>
      </c>
      <c r="C39" s="38">
        <f>C36-C37</f>
        <v/>
      </c>
      <c r="D39" s="38">
        <f>D36-D37</f>
        <v/>
      </c>
    </row>
    <row r="40">
      <c r="A40" t="inlineStr">
        <is>
          <t xml:space="preserve">    as a share of consensus</t>
        </is>
      </c>
      <c r="C40" s="11">
        <f>C36/C37-1</f>
        <v/>
      </c>
      <c r="D40" s="11">
        <f>D36/D37-1</f>
        <v/>
      </c>
    </row>
    <row r="41"/>
    <row r="42">
      <c r="A42" s="3" t="inlineStr">
        <is>
          <t>CAPITAL EXPENDITURE</t>
        </is>
      </c>
      <c r="B42" s="4" t="n"/>
      <c r="C42" s="4" t="n"/>
      <c r="D42" s="4" t="n"/>
      <c r="E42" s="4" t="n"/>
    </row>
    <row r="43">
      <c r="A43" t="inlineStr">
        <is>
          <t xml:space="preserve">  this model</t>
        </is>
      </c>
      <c r="C43" s="12">
        <f>Financials!G64</f>
        <v/>
      </c>
      <c r="D43" s="12">
        <f>Financials!H64</f>
        <v/>
      </c>
      <c r="E43" s="35" t="inlineStr">
        <is>
          <t>One contributor in FY2027 and none in FY2028. This model spends far more, which is a genuinely variant view in the UNFAVOURABLE direction: on cash the street is more optimistic than this model is.</t>
        </is>
      </c>
    </row>
    <row r="44">
      <c r="A44" t="inlineStr">
        <is>
          <t xml:space="preserve">  consensus, mean</t>
        </is>
      </c>
      <c r="B44" s="24" t="n">
        <v>635.1</v>
      </c>
      <c r="C44" s="24" t="n">
        <v>400</v>
      </c>
    </row>
    <row r="45">
      <c r="A45" t="inlineStr">
        <is>
          <t xml:space="preserve">    contributors to that line</t>
        </is>
      </c>
      <c r="B45" s="36" t="n">
        <v>1</v>
      </c>
      <c r="C45" s="36" t="n">
        <v>1</v>
      </c>
      <c r="D45" s="36" t="n">
        <v>0</v>
      </c>
      <c r="E45" s="7" t="inlineStr">
        <is>
          <t>no contributor publishes this line for FY2028, so the cell above is empty rather than constructed</t>
        </is>
      </c>
    </row>
    <row r="46">
      <c r="A46" t="inlineStr">
        <is>
          <t xml:space="preserve">  this model, less consensus</t>
        </is>
      </c>
      <c r="C46" s="18">
        <f>C43-C44</f>
        <v/>
      </c>
    </row>
    <row r="47">
      <c r="A47" t="inlineStr">
        <is>
          <t xml:space="preserve">    as a share of consensus</t>
        </is>
      </c>
      <c r="C47" s="11">
        <f>C43/C44-1</f>
        <v/>
      </c>
    </row>
    <row r="48"/>
    <row r="49">
      <c r="A49" s="3" t="inlineStr">
        <is>
          <t>WHERE THE DISAGREEMENT ACTUALLY IS</t>
        </is>
      </c>
      <c r="B49" s="4" t="n"/>
      <c r="C49" s="4" t="n"/>
      <c r="D49" s="4" t="n"/>
      <c r="E49" s="4" t="n"/>
    </row>
    <row r="50" ht="30" customHeight="1">
      <c r="A50" s="35" t="inlineStr">
        <is>
          <t>Volume. This model's FY2027 revenue is about 1.5 times the vendor's mean, and its FY2028 is about 1.4 times a single analyst's figure. The margin is not the disagreement: on the basis the company reports, this model sits BELOW consensus in both years for which the vendor publishes a margin.</t>
        </is>
      </c>
    </row>
    <row r="51" ht="30" customHeight="1">
      <c r="A51" s="35" t="inlineStr">
        <is>
          <t>The four FY2027 revenue contributors disagree with each other by 62% - a range of 2,180 to 3,526 with the median below the mean, so one high estimate is pulling the average up. An average over four split estimators is what the word consensus means on this name.</t>
        </is>
      </c>
    </row>
    <row r="52" ht="30" customHeight="1">
      <c r="A52" s="35" t="inlineStr">
        <is>
          <t>The vendor's enterprise value is not this model's and the two cannot be compared without a bridge: it counts the convertible notes inside total debt on a basic share count, while this model counts them as shares and leaves the principal out of the bridge.</t>
        </is>
      </c>
    </row>
    <row r="53" ht="30" customHeight="1">
      <c r="A53" s="35" t="inlineStr">
        <is>
          <t>Nothing on this sheet is a target, a forecast of the estimates, or a claim about revisions. It is the arithmetic of the difference, and the note argues the difference in words.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2"/>
  <sheetViews>
    <sheetView workbookViewId="0">
      <pane ySplit="6" topLeftCell="A7" activePane="bottomLeft" state="frozen"/>
      <selection pane="bottomLeft" activeCell="A1" sqref="A1"/>
    </sheetView>
  </sheetViews>
  <sheetFormatPr baseColWidth="8" defaultRowHeight="15" outlineLevelCol="0"/>
  <cols>
    <col width="46" customWidth="1" min="1" max="1"/>
    <col width="88" customWidth="1" min="2" max="2"/>
    <col width="12" customWidth="1" min="3" max="3"/>
    <col width="12" customWidth="1" min="4" max="4"/>
  </cols>
  <sheetData>
    <row r="1" ht="22" customHeight="1">
      <c r="A1" s="1" t="inlineStr">
        <is>
          <t>Applied Optoelectronics  |  The readings priced  |  value per share on both instruments</t>
        </is>
      </c>
      <c r="B1" s="2" t="n"/>
      <c r="C1" s="2" t="n"/>
      <c r="D1" s="2" t="n"/>
    </row>
    <row r="2"/>
    <row r="3">
      <c r="A3" s="7" t="inlineStr">
        <is>
          <t>Each row moves ONE of the model of record's own inputs to the reading it names, holds every other input, and reports what that reading is worth; the joint sets at the foot move several at once and say which. Transcription, not re-derivation: every figure is the pinned builder's own run of the record's named case, re-struck at this note's date of record. Unweighted - no probability the research did not derive. Each case is labelled by its operation.</t>
        </is>
      </c>
    </row>
    <row r="4">
      <c r="A4" s="7" t="inlineStr">
        <is>
          <t>Where the two instruments part, the split is one number: an exit multiple prices the exit year's EBITDA as though its economics continue past it, and the explicit path does not. The case in which the pluggable business ends at 1.6T is where that shows hardest.</t>
        </is>
      </c>
    </row>
    <row r="5"/>
    <row r="6">
      <c r="A6" s="3" t="inlineStr">
        <is>
          <t>The case</t>
        </is>
      </c>
      <c r="B6" s="3" t="inlineStr">
        <is>
          <t>What it requires</t>
        </is>
      </c>
      <c r="C6" s="39" t="inlineStr">
        <is>
          <t>A</t>
        </is>
      </c>
      <c r="D6" s="39" t="inlineStr">
        <is>
          <t>B</t>
        </is>
      </c>
    </row>
    <row r="7">
      <c r="A7" s="3" t="inlineStr">
        <is>
          <t>THE PATH</t>
        </is>
      </c>
      <c r="B7" s="4" t="n"/>
      <c r="C7" s="4" t="n"/>
      <c r="D7" s="4" t="n"/>
    </row>
    <row r="8">
      <c r="A8" s="5" t="inlineStr">
        <is>
          <t>This note's path</t>
        </is>
      </c>
      <c r="B8" s="35" t="inlineStr">
        <is>
          <t>the model of record's own inputs, re-struck at this note's date of record</t>
        </is>
      </c>
      <c r="C8" s="6" t="n">
        <v>249.63</v>
      </c>
      <c r="D8" s="6" t="n">
        <v>249.68</v>
      </c>
    </row>
    <row r="9"/>
    <row r="10">
      <c r="A10" s="3" t="inlineStr">
        <is>
          <t>EARLIER READINGS OF THE SAME PATH, EACH STILL PRICED</t>
        </is>
      </c>
      <c r="B10" s="4" t="n"/>
      <c r="C10" s="4" t="n"/>
      <c r="D10" s="4" t="n"/>
    </row>
    <row r="11">
      <c r="A11" s="40" t="inlineStr">
        <is>
          <t>The ladder filled at three-quarters</t>
        </is>
      </c>
      <c r="B11" s="35" t="inlineStr">
        <is>
          <t>7.1 million modules in 2027 and 10.7 million in 2028 - a 75% and 85% fill of the published capacity ladder instead of 66% and 75% - with the operating-expense path that reading carried, 10% of revenue in 2027 tapering to 7%</t>
        </is>
      </c>
      <c r="C11" s="41" t="n">
        <v>299.37</v>
      </c>
      <c r="D11" s="41" t="n">
        <v>291.74</v>
      </c>
    </row>
    <row r="12">
      <c r="A12" s="40" t="inlineStr">
        <is>
          <t>The data-center margin two points higher in the ramp years</t>
        </is>
      </c>
      <c r="B12" s="35" t="inlineStr">
        <is>
          <t>38% in 2027 and 43% in 2028-29, then 42%: the scaled makers' own pre-shortage arithmetic, without the deduction this path takes in 2027-29 for the ramp years' mix and start-up (the path itself reaches 42% from 2030)</t>
        </is>
      </c>
      <c r="C12" s="41" t="n">
        <v>251.55</v>
      </c>
      <c r="D12" s="41" t="n">
        <v>251.59</v>
      </c>
    </row>
    <row r="13">
      <c r="A13" s="40" t="inlineStr">
        <is>
          <t>Operating expense at the scaled makers' ratios</t>
        </is>
      </c>
      <c r="B13" s="35" t="inlineStr">
        <is>
          <t>an earlier reading's dollars installed on this path: $372 million in 2027 (9.1% of this path's revenue), 8.0% in 2028, falling to 6.4% in 2035 - the ratios two Chinese makers reached at scale, applied to a U.S. cost base carrying a second product line's research</t>
        </is>
      </c>
      <c r="C13" s="41" t="n">
        <v>267.44</v>
      </c>
      <c r="D13" s="41" t="n">
        <v>266.61</v>
      </c>
    </row>
    <row r="14">
      <c r="A14" s="40" t="inlineStr">
        <is>
          <t>Operating expense tapering from a tenth</t>
        </is>
      </c>
      <c r="B14" s="35" t="inlineStr">
        <is>
          <t>10% of revenue in 2027 tapering to 7% by 2035</t>
        </is>
      </c>
      <c r="C14" s="41" t="n">
        <v>260.99</v>
      </c>
      <c r="D14" s="41" t="n">
        <v>259.64</v>
      </c>
    </row>
    <row r="15">
      <c r="A15" s="40" t="inlineStr">
        <is>
          <t>The terminal charging the relocation</t>
        </is>
      </c>
      <c r="B15" s="35" t="inlineStr">
        <is>
          <t>2.5% perpetual growth after 2035 on A, and 8 times the exit year's EBITDA on B - the optical engine moving into the switch package charged in the terminal as well as in the rate, which charges it twice</t>
        </is>
      </c>
      <c r="C15" s="41" t="n">
        <v>193.8</v>
      </c>
      <c r="D15" s="41" t="n">
        <v>145.98</v>
      </c>
    </row>
    <row r="16">
      <c r="A16" s="40" t="inlineStr">
        <is>
          <t>The rate flat at 11%</t>
        </is>
      </c>
      <c r="B16" s="35" t="inlineStr">
        <is>
          <t>11% in every year and at the terminal, with no step down as the programme is absorbed</t>
        </is>
      </c>
      <c r="C16" s="41" t="n">
        <v>196.39</v>
      </c>
      <c r="D16" s="41" t="n">
        <v>245.47</v>
      </c>
    </row>
    <row r="17"/>
    <row r="18">
      <c r="A18" s="3" t="inlineStr">
        <is>
          <t>THE OPERATING INPUTS  -  lower</t>
        </is>
      </c>
      <c r="B18" s="4" t="n"/>
      <c r="C18" s="4" t="n"/>
      <c r="D18" s="4" t="n"/>
    </row>
    <row r="19">
      <c r="A19" s="40" t="inlineStr">
        <is>
          <t>The 2027 fill at 60%</t>
        </is>
      </c>
      <c r="B19" s="35" t="inlineStr">
        <is>
          <t>every data-center volume line multiplied by 60/66 from 2027, the smaller base carried through the whole window</t>
        </is>
      </c>
      <c r="C19" s="41" t="n">
        <v>218.16</v>
      </c>
      <c r="D19" s="41" t="n">
        <v>222.71</v>
      </c>
    </row>
    <row r="20">
      <c r="A20" s="40" t="inlineStr">
        <is>
          <t>The second 1.6T qualification a year late</t>
        </is>
      </c>
      <c r="B20" s="35" t="inlineStr">
        <is>
          <t>2028 at 3.1 million 1.6T modules and 5.5 million 800G, on the landed base</t>
        </is>
      </c>
      <c r="C20" s="41" t="n">
        <v>247.72</v>
      </c>
      <c r="D20" s="41" t="n">
        <v>247.76</v>
      </c>
    </row>
    <row r="21">
      <c r="A21" s="40" t="inlineStr">
        <is>
          <t>The learning curve at 20% a year</t>
        </is>
      </c>
      <c r="B21" s="35" t="inlineStr">
        <is>
          <t>the filed decline rate held from 2027 with no premium on the U.S.-built output</t>
        </is>
      </c>
      <c r="C21" s="41" t="n">
        <v>159.32</v>
      </c>
      <c r="D21" s="41" t="n">
        <v>196.51</v>
      </c>
    </row>
    <row r="22">
      <c r="A22" s="40" t="inlineStr">
        <is>
          <t>The margin at the last cycle's shape</t>
        </is>
      </c>
      <c r="B22" s="35" t="inlineStr">
        <is>
          <t>the data-center cash margin peaking at 37% in 2028 and settling at 32% from 2031 - this company's own 2019 shape reproduced on today's base</t>
        </is>
      </c>
      <c r="C22" s="41" t="n">
        <v>167.07</v>
      </c>
      <c r="D22" s="41" t="n">
        <v>179.61</v>
      </c>
    </row>
    <row r="23">
      <c r="A23" s="40" t="inlineStr">
        <is>
          <t>Network flattening, a fifth</t>
        </is>
      </c>
      <c r="B23" s="35" t="inlineStr">
        <is>
          <t>the buyers' pluggable module count a fifth lower from 2029 - the lighter reading of the bound the flattened designs give</t>
        </is>
      </c>
      <c r="C23" s="41" t="n">
        <v>184.29</v>
      </c>
      <c r="D23" s="41" t="n">
        <v>194.25</v>
      </c>
    </row>
    <row r="24">
      <c r="A24" s="40" t="inlineStr">
        <is>
          <t>Network flattening, a third</t>
        </is>
      </c>
      <c r="B24" s="35" t="inlineStr">
        <is>
          <t>the buyers' pluggable module count a third lower from 2029 - the bound's full size</t>
        </is>
      </c>
      <c r="C24" s="41" t="n">
        <v>140.74</v>
      </c>
      <c r="D24" s="41" t="n">
        <v>157.3</v>
      </c>
    </row>
    <row r="25">
      <c r="A25" s="40" t="inlineStr">
        <is>
          <t>No external laser line</t>
        </is>
      </c>
      <c r="B25" s="35" t="inlineStr">
        <is>
          <t>the fab a cost centre for the company's own modules only, and nothing sold outside</t>
        </is>
      </c>
      <c r="C25" s="41" t="n">
        <v>209.39</v>
      </c>
      <c r="D25" s="41" t="n">
        <v>220.2</v>
      </c>
    </row>
    <row r="26">
      <c r="A26" s="40" t="inlineStr">
        <is>
          <t>The laser line at the sized fifth alone</t>
        </is>
      </c>
      <c r="B26" s="35" t="inlineStr">
        <is>
          <t>$300 million in 2030, a fifth of the public series, with the merchant dies at zero and the tail scaled with it</t>
        </is>
      </c>
      <c r="C26" s="41" t="n">
        <v>236.79</v>
      </c>
      <c r="D26" s="41" t="n">
        <v>240.42</v>
      </c>
    </row>
    <row r="27">
      <c r="A27" s="40" t="inlineStr">
        <is>
          <t>The pluggable business ends at 1.6T</t>
        </is>
      </c>
      <c r="B27" s="35" t="inlineStr">
        <is>
          <t>no node after 1.6T at all - the arithmetic of the error the derivation refuses, stated because it is the largest single thing the value rests on</t>
        </is>
      </c>
      <c r="C27" s="41" t="n">
        <v>112</v>
      </c>
      <c r="D27" s="41" t="n">
        <v>190.33</v>
      </c>
    </row>
    <row r="28">
      <c r="A28" s="40" t="inlineStr">
        <is>
          <t>The share of the pool held flat</t>
        </is>
      </c>
      <c r="B28" s="35" t="inlineStr">
        <is>
          <t>no re-allocation toward the thin non-Chinese supplier set, with the growth capital and its depreciation scaled back with the volume</t>
        </is>
      </c>
      <c r="C28" s="41" t="n">
        <v>222.62</v>
      </c>
      <c r="D28" s="41" t="n">
        <v>230.94</v>
      </c>
    </row>
    <row r="29">
      <c r="A29" s="40" t="inlineStr">
        <is>
          <t>No premium on the U.S.-built output</t>
        </is>
      </c>
      <c r="B29" s="35" t="inlineStr">
        <is>
          <t>the Texas output sold at the same price as the rest</t>
        </is>
      </c>
      <c r="C29" s="41" t="n">
        <v>246.28</v>
      </c>
      <c r="D29" s="41" t="n">
        <v>245.86</v>
      </c>
    </row>
    <row r="30">
      <c r="A30" s="40" t="inlineStr">
        <is>
          <t>Capital spending a quarter heavier</t>
        </is>
      </c>
      <c r="B30" s="35" t="inlineStr">
        <is>
          <t>throughout the window, with its depreciation</t>
        </is>
      </c>
      <c r="C30" s="41" t="n">
        <v>225.42</v>
      </c>
      <c r="D30" s="41" t="n">
        <v>241.02</v>
      </c>
    </row>
    <row r="31"/>
    <row r="32">
      <c r="A32" s="3" t="inlineStr">
        <is>
          <t>THE OPERATING INPUTS  -  higher</t>
        </is>
      </c>
      <c r="B32" s="4" t="n"/>
      <c r="C32" s="4" t="n"/>
      <c r="D32" s="4" t="n"/>
    </row>
    <row r="33">
      <c r="A33" s="40" t="inlineStr">
        <is>
          <t>The shortage margin held</t>
        </is>
      </c>
      <c r="B33" s="35" t="inlineStr">
        <is>
          <t>the data-center cash margin at the scaled makers' shortage level, 38% in 2027 and 44% from 2028, rather than fading as the shortage that lifts them ends</t>
        </is>
      </c>
      <c r="C33" s="41" t="n">
        <v>268.14</v>
      </c>
      <c r="D33" s="41" t="n">
        <v>265.68</v>
      </c>
    </row>
    <row r="34">
      <c r="A34" s="40" t="inlineStr">
        <is>
          <t>The shortage clearing a year later</t>
        </is>
      </c>
      <c r="B34" s="35" t="inlineStr">
        <is>
          <t>2027's levels held through 2028 and the filed curve's decline shifted a year later - a buyer's date for the balance rather than the makers' and the analysts'</t>
        </is>
      </c>
      <c r="C34" s="41" t="n">
        <v>267.13</v>
      </c>
      <c r="D34" s="41" t="n">
        <v>281.74</v>
      </c>
    </row>
    <row r="35">
      <c r="A35" s="40" t="inlineStr">
        <is>
          <t>The laser line at twice the path</t>
        </is>
      </c>
      <c r="B35" s="35" t="inlineStr">
        <is>
          <t>twice the path's line in every year: $900 million in 2030, three-fifths of the public series, and twice the tail</t>
        </is>
      </c>
      <c r="C35" s="41" t="n">
        <v>289.88</v>
      </c>
      <c r="D35" s="41" t="n">
        <v>279.15</v>
      </c>
    </row>
    <row r="36">
      <c r="A36" s="40" t="inlineStr">
        <is>
          <t>The share at a fifth of the pool</t>
        </is>
      </c>
      <c r="B36" s="35" t="inlineStr">
        <is>
          <t>a 20% share of the pluggable pool by 2032, carried with the capital, the depreciation and the operating expense that volume needs</t>
        </is>
      </c>
      <c r="C36" s="41" t="n">
        <v>546.42</v>
      </c>
      <c r="D36" s="41" t="n">
        <v>434.45</v>
      </c>
    </row>
    <row r="37">
      <c r="A37" s="40" t="inlineStr">
        <is>
          <t>CATV held above $325 million</t>
        </is>
      </c>
      <c r="B37" s="35" t="inlineStr">
        <is>
          <t>the other operators filling the step-down from 2028 rather than following it</t>
        </is>
      </c>
      <c r="C37" s="41" t="n">
        <v>256.65</v>
      </c>
      <c r="D37" s="41" t="n">
        <v>256.82</v>
      </c>
    </row>
    <row r="38"/>
    <row r="39">
      <c r="A39" s="3" t="inlineStr">
        <is>
          <t>THE CAPITALIZATION</t>
        </is>
      </c>
      <c r="B39" s="4" t="n"/>
      <c r="C39" s="4" t="n"/>
      <c r="D39" s="4" t="n"/>
    </row>
    <row r="40">
      <c r="A40" s="40" t="inlineStr">
        <is>
          <t>The rate a point lower</t>
        </is>
      </c>
      <c r="B40" s="35" t="inlineStr">
        <is>
          <t>10% through 2028 stepping to 8.5% at the terminal</t>
        </is>
      </c>
      <c r="C40" s="41" t="n">
        <v>319.34</v>
      </c>
      <c r="D40" s="41" t="n">
        <v>261.74</v>
      </c>
    </row>
    <row r="41">
      <c r="A41" s="40" t="inlineStr">
        <is>
          <t>The rate a point higher</t>
        </is>
      </c>
      <c r="B41" s="35" t="inlineStr">
        <is>
          <t>12% through 2028 stepping to 10.5% at the terminal</t>
        </is>
      </c>
      <c r="C41" s="41" t="n">
        <v>203.36</v>
      </c>
      <c r="D41" s="41" t="n">
        <v>238.28</v>
      </c>
    </row>
    <row r="42">
      <c r="A42" s="40" t="inlineStr">
        <is>
          <t>The equity raise not taken</t>
        </is>
      </c>
      <c r="B42" s="35" t="inlineStr">
        <is>
          <t>debt or customer financing instead: no new shares and no new proceeds</t>
        </is>
      </c>
      <c r="C42" s="41" t="n">
        <v>255.93</v>
      </c>
      <c r="D42" s="41" t="n">
        <v>255.98</v>
      </c>
    </row>
    <row r="43"/>
    <row r="44">
      <c r="A44" s="3" t="inlineStr">
        <is>
          <t>THE JOINT SETS  -  several inputs moved together</t>
        </is>
      </c>
      <c r="B44" s="4" t="n"/>
      <c r="C44" s="4" t="n"/>
      <c r="D44" s="4" t="n"/>
    </row>
    <row r="45">
      <c r="A45" t="inlineStr">
        <is>
          <t>The standing counter-case</t>
        </is>
      </c>
      <c r="B45" s="35" t="inlineStr">
        <is>
          <t>the 2027 fill at 60% and the margin at the last cycle's shape, together</t>
        </is>
      </c>
      <c r="C45" s="41" t="n">
        <v>142.98</v>
      </c>
      <c r="D45" s="41" t="n">
        <v>158.8</v>
      </c>
    </row>
    <row r="46">
      <c r="A46" t="inlineStr">
        <is>
          <t>The last cycle reproduced whole</t>
        </is>
      </c>
      <c r="B46" s="35" t="inlineStr">
        <is>
          <t>the counter-case with the learning curve at 20% a year as well</t>
        </is>
      </c>
      <c r="C46" s="41" t="n">
        <v>81.08</v>
      </c>
      <c r="D46" s="41" t="n">
        <v>122</v>
      </c>
    </row>
    <row r="47">
      <c r="A47" t="inlineStr">
        <is>
          <t>The refused favourable readings together, operating</t>
        </is>
      </c>
      <c r="B47" s="35" t="inlineStr">
        <is>
          <t>the three-quarter fill (with the operating-expense taper it carried), the margin two points higher, the laser line at twice and CATV held</t>
        </is>
      </c>
      <c r="C47" s="41" t="n">
        <v>348.76</v>
      </c>
      <c r="D47" s="41" t="n">
        <v>330.5</v>
      </c>
    </row>
    <row r="48">
      <c r="A48" t="inlineStr">
        <is>
          <t>The same, with the rate a point lower</t>
        </is>
      </c>
      <c r="B48" s="35" t="inlineStr">
        <is>
          <t>the four above and a point off the whole rate schedule</t>
        </is>
      </c>
      <c r="C48" s="41" t="n">
        <v>444.74</v>
      </c>
      <c r="D48" s="41" t="n">
        <v>346.28</v>
      </c>
    </row>
    <row r="49">
      <c r="A49" t="inlineStr">
        <is>
          <t>Every adverse operating case at once</t>
        </is>
      </c>
      <c r="B49" s="35" t="inlineStr">
        <is>
          <t>a stack, not a world, and printed as one: the fill at 60%, the last cycle's margin, the 20% curve, flattening, no laser line and capital a quarter heavier, all together</t>
        </is>
      </c>
      <c r="C49" s="41" t="n">
        <v>-16.03</v>
      </c>
      <c r="D49" s="41" t="n">
        <v>52.77</v>
      </c>
    </row>
    <row r="50"/>
    <row r="51">
      <c r="A51" s="7" t="inlineStr">
        <is>
          <t>The price on the Summary sheet sits between the last two adverse readings: below the standing counter-case and above the last cycle reproduced whole. One single case on this sheet reaches below it, on the ten-year instrument alone: the pluggable business ending at 1.6T.</t>
        </is>
      </c>
    </row>
    <row r="52">
      <c r="A52" s="7" t="inlineStr">
        <is>
          <t>The record prices one further case that is not on this sheet, because it turns on a document published after this note's date of record. The model's documentation says which.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1" ySplit="2" topLeftCell="B3" activePane="bottomRight" state="frozen"/>
      <selection pane="topRight"/>
      <selection pane="bottomLeft"/>
      <selection pane="bottomRight" activeCell="A1" sqref="A1"/>
    </sheetView>
  </sheetViews>
  <sheetFormatPr baseColWidth="8" defaultRowHeight="15" outlineLevelCol="0"/>
  <cols>
    <col width="46"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ht="22" customHeight="1">
      <c r="A1" s="1" t="inlineStr">
        <is>
          <t>Applied Optoelectronics  |  Sensitivity  |  value per share</t>
        </is>
      </c>
      <c r="B1" s="2" t="n"/>
      <c r="C1" s="2" t="n"/>
      <c r="D1" s="2" t="n"/>
      <c r="E1" s="2" t="n"/>
      <c r="F1" s="2" t="n"/>
      <c r="G1" s="2" t="n"/>
      <c r="H1" s="2" t="n"/>
    </row>
    <row r="2"/>
    <row r="3">
      <c r="A3" s="3" t="inlineStr">
        <is>
          <t>1.  INSTRUMENT A  -  the rate schedule shifted in parallel (down) x the perpetual growth after 2035 (across)</t>
        </is>
      </c>
      <c r="B3" s="4" t="n"/>
      <c r="C3" s="4" t="n"/>
      <c r="D3" s="4" t="n"/>
      <c r="E3" s="4" t="n"/>
      <c r="F3" s="4" t="n"/>
      <c r="G3" s="4" t="n"/>
      <c r="H3" s="4" t="n"/>
    </row>
    <row r="4">
      <c r="A4" s="7" t="inlineStr">
        <is>
          <t>Computed by running the pinned model of record itself, re-struck at this note's date of record: for each cell the whole schedule moves by the row's amount and the perpetuity grows at the column's rate, and the record's own valuation is then run. The row and the column the model uses meet at its own value.</t>
        </is>
      </c>
    </row>
    <row r="5">
      <c r="A5" s="5" t="inlineStr">
        <is>
          <t>schedule shift / perpetual growth</t>
        </is>
      </c>
      <c r="B5" s="42" t="n">
        <v>0.02</v>
      </c>
      <c r="C5" s="42" t="n">
        <v>0.025</v>
      </c>
      <c r="D5" s="42" t="n">
        <v>0.03</v>
      </c>
      <c r="E5" s="42" t="n">
        <v>0.035</v>
      </c>
      <c r="F5" s="42" t="n">
        <v>0.04</v>
      </c>
      <c r="G5" s="42" t="n">
        <v>0.045</v>
      </c>
      <c r="H5" s="42" t="n">
        <v>0.05</v>
      </c>
    </row>
    <row r="6">
      <c r="A6" s="40" t="inlineStr">
        <is>
          <t>the schedule two points lower   (9.0% to 7.5%)</t>
        </is>
      </c>
      <c r="B6" s="41" t="n">
        <v>264.97</v>
      </c>
      <c r="C6" s="41" t="n">
        <v>285.49</v>
      </c>
      <c r="D6" s="41" t="n">
        <v>310.57</v>
      </c>
      <c r="E6" s="41" t="n">
        <v>341.91</v>
      </c>
      <c r="F6" s="41" t="n">
        <v>382.21</v>
      </c>
      <c r="G6" s="41" t="n">
        <v>435.95</v>
      </c>
      <c r="H6" s="41" t="n">
        <v>511.17</v>
      </c>
    </row>
    <row r="7">
      <c r="A7" s="40" t="inlineStr">
        <is>
          <t>the schedule a point lower   (10.0% to 8.5%)</t>
        </is>
      </c>
      <c r="B7" s="41" t="n">
        <v>218.41</v>
      </c>
      <c r="C7" s="41" t="n">
        <v>231.87</v>
      </c>
      <c r="D7" s="41" t="n">
        <v>247.77</v>
      </c>
      <c r="E7" s="41" t="n">
        <v>266.86</v>
      </c>
      <c r="F7" s="41" t="n">
        <v>290.19</v>
      </c>
      <c r="G7" s="41" t="n">
        <v>319.34</v>
      </c>
      <c r="H7" s="41" t="n">
        <v>356.83</v>
      </c>
    </row>
    <row r="8">
      <c r="A8" s="5" t="inlineStr">
        <is>
          <t>THE SCHEDULE AS MODELLED   (11.0% to 9.5%)</t>
        </is>
      </c>
      <c r="B8" s="41" t="n">
        <v>184.49</v>
      </c>
      <c r="C8" s="41" t="n">
        <v>193.8</v>
      </c>
      <c r="D8" s="41" t="n">
        <v>204.53</v>
      </c>
      <c r="E8" s="41" t="n">
        <v>217.06</v>
      </c>
      <c r="F8" s="41" t="n">
        <v>231.87</v>
      </c>
      <c r="G8" s="6" t="n">
        <v>249.63</v>
      </c>
      <c r="H8" s="41" t="n">
        <v>271.35</v>
      </c>
    </row>
    <row r="9">
      <c r="A9" s="40" t="inlineStr">
        <is>
          <t>the schedule a point higher   (12.0% to 10.5%)</t>
        </is>
      </c>
      <c r="B9" s="41" t="n">
        <v>158.74</v>
      </c>
      <c r="C9" s="41" t="n">
        <v>165.43</v>
      </c>
      <c r="D9" s="41" t="n">
        <v>173.02</v>
      </c>
      <c r="E9" s="41" t="n">
        <v>181.68</v>
      </c>
      <c r="F9" s="41" t="n">
        <v>191.69</v>
      </c>
      <c r="G9" s="41" t="n">
        <v>203.36</v>
      </c>
      <c r="H9" s="41" t="n">
        <v>217.15</v>
      </c>
    </row>
    <row r="10">
      <c r="A10" s="40" t="inlineStr">
        <is>
          <t>the schedule two points higher   (13.0% to 11.5%)</t>
        </is>
      </c>
      <c r="B10" s="41" t="n">
        <v>138.57</v>
      </c>
      <c r="C10" s="41" t="n">
        <v>143.53</v>
      </c>
      <c r="D10" s="41" t="n">
        <v>149.07</v>
      </c>
      <c r="E10" s="41" t="n">
        <v>155.31</v>
      </c>
      <c r="F10" s="41" t="n">
        <v>162.38</v>
      </c>
      <c r="G10" s="41" t="n">
        <v>170.46</v>
      </c>
      <c r="H10" s="41" t="n">
        <v>179.78</v>
      </c>
    </row>
    <row r="11"/>
    <row r="12">
      <c r="A12" s="7" t="inlineStr">
        <is>
          <t>Every cell of this grid is above the price on the Summary sheet, including its lowest corner.</t>
        </is>
      </c>
    </row>
    <row r="13"/>
    <row r="14">
      <c r="A14" s="3" t="inlineStr">
        <is>
          <t>2.  INSTRUMENT B  -  the rate schedule shifted in parallel (down) x the exit EV/EBITDA on the exit year (across)</t>
        </is>
      </c>
      <c r="B14" s="4" t="n"/>
      <c r="C14" s="4" t="n"/>
      <c r="D14" s="4" t="n"/>
      <c r="E14" s="4" t="n"/>
      <c r="F14" s="4" t="n"/>
      <c r="G14" s="4" t="n"/>
      <c r="H14" s="4" t="n"/>
    </row>
    <row r="15">
      <c r="A15" s="7" t="inlineStr">
        <is>
          <t>The same shifts against a multiple taken from outside the model. The derived multiple the Valuation sheet uses is 14.9 times, which sits ABOVE the last column, so the model's own value is off this grid to the right - deliberately: the grid is where a reader puts the market's own multiple in place of the derived one.</t>
        </is>
      </c>
    </row>
    <row r="16">
      <c r="A16" s="5" t="inlineStr">
        <is>
          <t>schedule shift / exit multiple</t>
        </is>
      </c>
      <c r="B16" s="43" t="n">
        <v>8</v>
      </c>
      <c r="C16" s="43" t="n">
        <v>9</v>
      </c>
      <c r="D16" s="43" t="n">
        <v>10</v>
      </c>
      <c r="E16" s="43" t="n">
        <v>11</v>
      </c>
      <c r="F16" s="43" t="n">
        <v>12</v>
      </c>
      <c r="G16" s="43" t="n">
        <v>13</v>
      </c>
      <c r="H16" s="43" t="n">
        <v>14</v>
      </c>
    </row>
    <row r="17">
      <c r="A17" s="40" t="inlineStr">
        <is>
          <t>the schedule two points lower   (9.0% to 7.5%)</t>
        </is>
      </c>
      <c r="B17" s="41" t="n">
        <v>160.16</v>
      </c>
      <c r="C17" s="41" t="n">
        <v>176.73</v>
      </c>
      <c r="D17" s="41" t="n">
        <v>193.31</v>
      </c>
      <c r="E17" s="41" t="n">
        <v>209.88</v>
      </c>
      <c r="F17" s="41" t="n">
        <v>226.46</v>
      </c>
      <c r="G17" s="41" t="n">
        <v>243.03</v>
      </c>
      <c r="H17" s="41" t="n">
        <v>259.6</v>
      </c>
    </row>
    <row r="18">
      <c r="A18" s="40" t="inlineStr">
        <is>
          <t>the schedule a point lower   (10.0% to 8.5%)</t>
        </is>
      </c>
      <c r="B18" s="41" t="n">
        <v>152.87</v>
      </c>
      <c r="C18" s="41" t="n">
        <v>168.65</v>
      </c>
      <c r="D18" s="41" t="n">
        <v>184.43</v>
      </c>
      <c r="E18" s="41" t="n">
        <v>200.21</v>
      </c>
      <c r="F18" s="41" t="n">
        <v>215.99</v>
      </c>
      <c r="G18" s="41" t="n">
        <v>231.76</v>
      </c>
      <c r="H18" s="41" t="n">
        <v>247.54</v>
      </c>
    </row>
    <row r="19">
      <c r="A19" s="5" t="inlineStr">
        <is>
          <t>THE SCHEDULE AS MODELLED   (11.0% to 9.5%)</t>
        </is>
      </c>
      <c r="B19" s="41" t="n">
        <v>145.98</v>
      </c>
      <c r="C19" s="41" t="n">
        <v>161.01</v>
      </c>
      <c r="D19" s="41" t="n">
        <v>176.04</v>
      </c>
      <c r="E19" s="41" t="n">
        <v>191.07</v>
      </c>
      <c r="F19" s="41" t="n">
        <v>206.1</v>
      </c>
      <c r="G19" s="41" t="n">
        <v>221.12</v>
      </c>
      <c r="H19" s="41" t="n">
        <v>236.15</v>
      </c>
    </row>
    <row r="20">
      <c r="A20" s="40" t="inlineStr">
        <is>
          <t>the schedule a point higher   (12.0% to 10.5%)</t>
        </is>
      </c>
      <c r="B20" s="41" t="n">
        <v>139.47</v>
      </c>
      <c r="C20" s="41" t="n">
        <v>153.79</v>
      </c>
      <c r="D20" s="41" t="n">
        <v>168.11</v>
      </c>
      <c r="E20" s="41" t="n">
        <v>182.43</v>
      </c>
      <c r="F20" s="41" t="n">
        <v>196.75</v>
      </c>
      <c r="G20" s="41" t="n">
        <v>211.07</v>
      </c>
      <c r="H20" s="41" t="n">
        <v>225.39</v>
      </c>
    </row>
    <row r="21">
      <c r="A21" s="40" t="inlineStr">
        <is>
          <t>the schedule two points higher   (13.0% to 11.5%)</t>
        </is>
      </c>
      <c r="B21" s="41" t="n">
        <v>133.32</v>
      </c>
      <c r="C21" s="41" t="n">
        <v>146.97</v>
      </c>
      <c r="D21" s="41" t="n">
        <v>160.62</v>
      </c>
      <c r="E21" s="41" t="n">
        <v>174.27</v>
      </c>
      <c r="F21" s="41" t="n">
        <v>187.92</v>
      </c>
      <c r="G21" s="41" t="n">
        <v>201.57</v>
      </c>
      <c r="H21" s="41" t="n">
        <v>215.22</v>
      </c>
    </row>
    <row r="22"/>
    <row r="23">
      <c r="A23" s="7" t="inlineStr">
        <is>
          <t>The lowest corner of this grid still clears the price. The two grids reconcile through the implied multiple on the Valuation sheet, which itself moves with the schedule.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6"/>
  <sheetViews>
    <sheetView workbookViewId="0">
      <pane ySplit="4" topLeftCell="A5" activePane="bottomLeft" state="frozen"/>
      <selection pane="bottomLeft" activeCell="A1" sqref="A1"/>
    </sheetView>
  </sheetViews>
  <sheetFormatPr baseColWidth="8" defaultRowHeight="15" outlineLevelCol="0"/>
  <cols>
    <col width="104" customWidth="1" min="1" max="1"/>
    <col width="22" customWidth="1" min="2" max="2"/>
    <col width="24" customWidth="1" min="3" max="3"/>
    <col width="9" customWidth="1" min="4" max="4"/>
    <col width="9" customWidth="1" min="5" max="5"/>
  </cols>
  <sheetData>
    <row r="1" ht="22" customHeight="1">
      <c r="A1" s="1" t="inlineStr">
        <is>
          <t>Applied Optoelectronics  |  Checks  |  each row fails loudly rather than quietly</t>
        </is>
      </c>
      <c r="B1" s="2" t="n"/>
      <c r="C1" s="2" t="n"/>
      <c r="D1" s="2" t="n"/>
      <c r="E1" s="2" t="n"/>
    </row>
    <row r="2"/>
    <row r="3">
      <c r="A3" s="7" t="inlineStr">
        <is>
          <t>The build computes this workbook headlessly, reads every Status below, and REFUSES TO SAVE if any of them reads FAIL. The rows marked 'build' were asserted in Python against something outside the workbook - the filed-statement archive, the pinned model of record, the consensus snapshot, or the workbook's own structure - and their Status is written by the build. The note's own valuation section is re-derived from this workbook, so the figures checked here are the research record's own: the company file's valuation section at the commit record/PIN.md names.</t>
        </is>
      </c>
    </row>
    <row r="4">
      <c r="A4" s="3" t="inlineStr">
        <is>
          <t>Check</t>
        </is>
      </c>
      <c r="B4" s="3" t="inlineStr">
        <is>
          <t>Value</t>
        </is>
      </c>
      <c r="C4" s="3" t="inlineStr">
        <is>
          <t>Expected</t>
        </is>
      </c>
      <c r="D4" s="3" t="inlineStr">
        <is>
          <t>How</t>
        </is>
      </c>
      <c r="E4" s="3" t="inlineStr">
        <is>
          <t>Status</t>
        </is>
      </c>
    </row>
    <row r="5">
      <c r="A5" t="inlineStr">
        <is>
          <t>The value per share on instrument A reproduces the model of record re-struck at the as-of: $249.6326</t>
        </is>
      </c>
      <c r="B5" s="44">
        <f>Valuation!$B$42</f>
        <v/>
      </c>
      <c r="C5" s="44">
        <f>249.6326</f>
        <v/>
      </c>
      <c r="D5" s="7" t="inlineStr">
        <is>
          <t>formula</t>
        </is>
      </c>
      <c r="E5" s="5">
        <f>IF(ABS(B5-C5)&lt;=0.005,"PASS","FAIL")</f>
        <v/>
      </c>
    </row>
    <row r="6">
      <c r="A6" t="inlineStr">
        <is>
          <t>The value per share on instrument B reproduces it: $249.6774</t>
        </is>
      </c>
      <c r="B6" s="44">
        <f>Valuation!$B$43</f>
        <v/>
      </c>
      <c r="C6" s="44">
        <f>249.6774</f>
        <v/>
      </c>
      <c r="D6" s="7" t="inlineStr">
        <is>
          <t>formula</t>
        </is>
      </c>
      <c r="E6" s="5">
        <f>IF(ABS(B6-C6)&lt;=0.005,"PASS","FAIL")</f>
        <v/>
      </c>
    </row>
    <row r="7">
      <c r="A7" t="inlineStr">
        <is>
          <t>The enterprise value on A reproduces the record's, re-struck: $25295.7M</t>
        </is>
      </c>
      <c r="B7" s="44">
        <f>Valuation!$B$24</f>
        <v/>
      </c>
      <c r="C7" s="44">
        <f>25295.7174</f>
        <v/>
      </c>
      <c r="D7" s="7" t="inlineStr">
        <is>
          <t>formula</t>
        </is>
      </c>
      <c r="E7" s="5">
        <f>IF(ABS(B7-C7)&lt;=0.05,"PASS","FAIL")</f>
        <v/>
      </c>
    </row>
    <row r="8">
      <c r="A8" t="inlineStr">
        <is>
          <t>The enterprise value on B reproduces it: $25300.5M</t>
        </is>
      </c>
      <c r="B8" s="44">
        <f>Valuation!$B$33</f>
        <v/>
      </c>
      <c r="C8" s="44">
        <f>25300.4720</f>
        <v/>
      </c>
      <c r="D8" s="7" t="inlineStr">
        <is>
          <t>formula</t>
        </is>
      </c>
      <c r="E8" s="5">
        <f>IF(ABS(B8-C8)&lt;=0.05,"PASS","FAIL")</f>
        <v/>
      </c>
    </row>
    <row r="9">
      <c r="A9" t="inlineStr">
        <is>
          <t>The count the valuation uses is 106.108 million shares</t>
        </is>
      </c>
      <c r="B9" s="44">
        <f>Summary!$B$31</f>
        <v/>
      </c>
      <c r="C9" s="44">
        <f>106.108000</f>
        <v/>
      </c>
      <c r="D9" s="7" t="inlineStr">
        <is>
          <t>formula</t>
        </is>
      </c>
      <c r="E9" s="5">
        <f>IF(ABS(B9-C9)&lt;=0.0005,"PASS","FAIL")</f>
        <v/>
      </c>
    </row>
    <row r="10">
      <c r="A10" t="inlineStr">
        <is>
          <t>The bridge is $1192.3M</t>
        </is>
      </c>
      <c r="B10" s="44">
        <f>Summary!$B$20</f>
        <v/>
      </c>
      <c r="C10" s="44">
        <f>1192.300000</f>
        <v/>
      </c>
      <c r="D10" s="7" t="inlineStr">
        <is>
          <t>formula</t>
        </is>
      </c>
      <c r="E10" s="5">
        <f>IF(ABS(B10-C10)&lt;=0.005,"PASS","FAIL")</f>
        <v/>
      </c>
    </row>
    <row r="11">
      <c r="A11" t="inlineStr">
        <is>
          <t>The bridge is the six balance-sheet rows on Summary and no seventh</t>
        </is>
      </c>
      <c r="B11" s="44">
        <f>Summary!$B$20</f>
        <v/>
      </c>
      <c r="C11" s="44">
        <f>Summary!$B$14+Summary!$B$15+Summary!$B$16+Summary!$B$17+Summary!$B$18+Summary!$B$19</f>
        <v/>
      </c>
      <c r="D11" s="7" t="inlineStr">
        <is>
          <t>formula</t>
        </is>
      </c>
      <c r="E11" s="5">
        <f>IF(ABS(B11-C11)&lt;=0.000001,"PASS","FAIL")</f>
        <v/>
      </c>
    </row>
    <row r="12">
      <c r="A12" t="inlineStr">
        <is>
          <t>The count is the five claims on Summary and no sixth</t>
        </is>
      </c>
      <c r="B12" s="44">
        <f>Summary!$B$31</f>
        <v/>
      </c>
      <c r="C12" s="44">
        <f>Summary!$B$25+Summary!$B$27+Summary!$B$28+Summary!$B$29+Summary!$B$30</f>
        <v/>
      </c>
      <c r="D12" s="7" t="inlineStr">
        <is>
          <t>formula</t>
        </is>
      </c>
      <c r="E12" s="5">
        <f>IF(ABS(B12-C12)&lt;=0.000001,"PASS","FAIL")</f>
        <v/>
      </c>
    </row>
    <row r="13">
      <c r="A13" t="inlineStr">
        <is>
          <t>Equity value is enterprise value plus the bridge on both instruments, and nothing else</t>
        </is>
      </c>
      <c r="B13" s="44">
        <f>ABS(Valuation!$B$39-Valuation!$B$24-Valuation!$B$38)+ABS(Valuation!$B$40-Valuation!$B$33-Valuation!$B$38)</f>
        <v/>
      </c>
      <c r="C13" s="44">
        <f>0.000001</f>
        <v/>
      </c>
      <c r="D13" s="7" t="inlineStr">
        <is>
          <t>formula</t>
        </is>
      </c>
      <c r="E13" s="5">
        <f>IF(B13&lt;=C13,"PASS","FAIL")</f>
        <v/>
      </c>
    </row>
    <row r="14">
      <c r="A14" t="inlineStr">
        <is>
          <t>The revenue lines sum to total revenue in every forecast column</t>
        </is>
      </c>
      <c r="B14" s="44">
        <f>MAX(ABS(Financials!F13-Financials!F9-Financials!F10-Financials!F11-Financials!F12),ABS(Financials!G13-Financials!G9-Financials!G10-Financials!G11-Financials!G12),ABS(Financials!H13-Financials!H9-Financials!H10-Financials!H11-Financials!H12),ABS(Financials!I13-Financials!I9-Financials!I10-Financials!I11-Financials!I12),ABS(Financials!J13-Financials!J9-Financials!J10-Financials!J11-Financials!J12),ABS(Financials!K13-Financials!K9-Financials!K10-Financials!K11-Financials!K12),ABS(Financials!L13-Financials!L9-Financials!L10-Financials!L11-Financials!L12),ABS(Financials!M13-Financials!M9-Financials!M10-Financials!M11-Financials!M12),ABS(Financials!N13-Financials!N9-Financials!N10-Financials!N11-Financials!N12),ABS(Financials!O13-Financials!O9-Financials!O10-Financials!O11-Financials!O12))</f>
        <v/>
      </c>
      <c r="C14" s="44">
        <f>0.000001</f>
        <v/>
      </c>
      <c r="D14" s="7" t="inlineStr">
        <is>
          <t>formula</t>
        </is>
      </c>
      <c r="E14" s="5">
        <f>IF(B14&lt;=C14,"PASS","FAIL")</f>
        <v/>
      </c>
    </row>
    <row r="15">
      <c r="A15" t="inlineStr">
        <is>
          <t>Cash gross profit is revenue less cash cost of revenue in every forecast column</t>
        </is>
      </c>
      <c r="B15" s="44">
        <f>MAX(ABS(Financials!F38-Financials!F13+Financials!F34),ABS(Financials!G38-Financials!G13+Financials!G34),ABS(Financials!H38-Financials!H13+Financials!H34),ABS(Financials!I38-Financials!I13+Financials!I34),ABS(Financials!J38-Financials!J13+Financials!J34),ABS(Financials!K38-Financials!K13+Financials!K34),ABS(Financials!L38-Financials!L13+Financials!L34),ABS(Financials!M38-Financials!M13+Financials!M34),ABS(Financials!N38-Financials!N13+Financials!N34),ABS(Financials!O38-Financials!O13+Financials!O34))</f>
        <v/>
      </c>
      <c r="C15" s="44">
        <f>0.000001</f>
        <v/>
      </c>
      <c r="D15" s="7" t="inlineStr">
        <is>
          <t>formula</t>
        </is>
      </c>
      <c r="E15" s="5">
        <f>IF(B15&lt;=C15,"PASS","FAIL")</f>
        <v/>
      </c>
    </row>
    <row r="16">
      <c r="A16" t="inlineStr">
        <is>
          <t>Each line's cash cost is its revenue at one minus its own margin, in every forecast column</t>
        </is>
      </c>
      <c r="B16" s="44">
        <f>MAX(ABS(Financials!F30-Financials!F9*(1-Financials!F24)),ABS(Financials!G30-Financials!G9*(1-Financials!G24)),ABS(Financials!H30-Financials!H9*(1-Financials!H24)),ABS(Financials!I30-Financials!I9*(1-Financials!I24)),ABS(Financials!J30-Financials!J9*(1-Financials!J24)),ABS(Financials!K30-Financials!K9*(1-Financials!K24)),ABS(Financials!L30-Financials!L9*(1-Financials!L24)),ABS(Financials!M30-Financials!M9*(1-Financials!M24)),ABS(Financials!N30-Financials!N9*(1-Financials!N24)),ABS(Financials!O30-Financials!O9*(1-Financials!O24)),ABS(Financials!F31-Financials!F10*(1-Financials!F25)),ABS(Financials!G31-Financials!G10*(1-Financials!G25)),ABS(Financials!H31-Financials!H10*(1-Financials!H25)),ABS(Financials!I31-Financials!I10*(1-Financials!I25)),ABS(Financials!J31-Financials!J10*(1-Financials!J25)),ABS(Financials!K31-Financials!K10*(1-Financials!K25)),ABS(Financials!L31-Financials!L10*(1-Financials!L25)),ABS(Financials!M31-Financials!M10*(1-Financials!M25)),ABS(Financials!N31-Financials!N10*(1-Financials!N25)),ABS(Financials!O31-Financials!O10*(1-Financials!O25)),ABS(Financials!F32-Financials!F11*(1-Financials!F26)),ABS(Financials!G32-Financials!G11*(1-Financials!G26)),ABS(Financials!H32-Financials!H11*(1-Financials!H26)),ABS(Financials!I32-Financials!I11*(1-Financials!I26)),ABS(Financials!J32-Financials!J11*(1-Financials!J26)),ABS(Financials!K32-Financials!K11*(1-Financials!K26)),ABS(Financials!L32-Financials!L11*(1-Financials!L26)),ABS(Financials!M32-Financials!M11*(1-Financials!M26)),ABS(Financials!N32-Financials!N11*(1-Financials!N26)),ABS(Financials!O32-Financials!O11*(1-Financials!O26)),ABS(Financials!F33-Financials!F12*(1-Financials!F27)),ABS(Financials!G33-Financials!G12*(1-Financials!G27)),ABS(Financials!H33-Financials!H12*(1-Financials!H27)),ABS(Financials!I33-Financials!I12*(1-Financials!I27)),ABS(Financials!J33-Financials!J12*(1-Financials!J27)),ABS(Financials!K33-Financials!K12*(1-Financials!K27)),ABS(Financials!L33-Financials!L12*(1-Financials!L27)),ABS(Financials!M33-Financials!M12*(1-Financials!M27)),ABS(Financials!N33-Financials!N12*(1-Financials!N27)),ABS(Financials!O33-Financials!O12*(1-Financials!O27)))</f>
        <v/>
      </c>
      <c r="C16" s="44">
        <f>0.000001</f>
        <v/>
      </c>
      <c r="D16" s="7" t="inlineStr">
        <is>
          <t>formula</t>
        </is>
      </c>
      <c r="E16" s="5">
        <f>IF(B16&lt;=C16,"PASS","FAIL")</f>
        <v/>
      </c>
    </row>
    <row r="17">
      <c r="A17" t="inlineStr">
        <is>
          <t>EBITDA is cash gross profit less cash operating expense in every forecast column</t>
        </is>
      </c>
      <c r="B17" s="44">
        <f>MAX(ABS(Financials!F51-Financials!F38+Financials!F47),ABS(Financials!G51-Financials!G38+Financials!G47),ABS(Financials!H51-Financials!H38+Financials!H47),ABS(Financials!I51-Financials!I38+Financials!I47),ABS(Financials!J51-Financials!J38+Financials!J47),ABS(Financials!K51-Financials!K38+Financials!K47),ABS(Financials!L51-Financials!L38+Financials!L47),ABS(Financials!M51-Financials!M38+Financials!M47),ABS(Financials!N51-Financials!N38+Financials!N47),ABS(Financials!O51-Financials!O38+Financials!O47))</f>
        <v/>
      </c>
      <c r="C17" s="44">
        <f>0.000001</f>
        <v/>
      </c>
      <c r="D17" s="7" t="inlineStr">
        <is>
          <t>formula</t>
        </is>
      </c>
      <c r="E17" s="5">
        <f>IF(B17&lt;=C17,"PASS","FAIL")</f>
        <v/>
      </c>
    </row>
    <row r="18">
      <c r="A18" t="inlineStr">
        <is>
          <t>EBITDA less depreciation is operating profit in every forecast column</t>
        </is>
      </c>
      <c r="B18" s="44">
        <f>MAX(ABS(Financials!F53-Financials!F51+Financials!F52),ABS(Financials!G53-Financials!G51+Financials!G52),ABS(Financials!H53-Financials!H51+Financials!H52),ABS(Financials!I53-Financials!I51+Financials!I52),ABS(Financials!J53-Financials!J51+Financials!J52),ABS(Financials!K53-Financials!K51+Financials!K52),ABS(Financials!L53-Financials!L51+Financials!L52),ABS(Financials!M53-Financials!M51+Financials!M52),ABS(Financials!N53-Financials!N51+Financials!N52),ABS(Financials!O53-Financials!O51+Financials!O52))</f>
        <v/>
      </c>
      <c r="C18" s="44">
        <f>0.000001</f>
        <v/>
      </c>
      <c r="D18" s="7" t="inlineStr">
        <is>
          <t>formula</t>
        </is>
      </c>
      <c r="E18" s="5">
        <f>IF(B18&lt;=C18,"PASS","FAIL")</f>
        <v/>
      </c>
    </row>
    <row r="19">
      <c r="A19" t="inlineStr">
        <is>
          <t>Free cash flow is one definition in every forecast column</t>
        </is>
      </c>
      <c r="B19" s="44">
        <f>MAX(ABS(Financials!F70-Financials!F57-Financials!F52+Financials!F64+Financials!F69),ABS(Financials!G70-Financials!G57-Financials!G52+Financials!G64+Financials!G69),ABS(Financials!H70-Financials!H57-Financials!H52+Financials!H64+Financials!H69),ABS(Financials!I70-Financials!I57-Financials!I52+Financials!I64+Financials!I69),ABS(Financials!J70-Financials!J57-Financials!J52+Financials!J64+Financials!J69),ABS(Financials!K70-Financials!K57-Financials!K52+Financials!K64+Financials!K69),ABS(Financials!L70-Financials!L57-Financials!L52+Financials!L64+Financials!L69),ABS(Financials!M70-Financials!M57-Financials!M52+Financials!M64+Financials!M69),ABS(Financials!N70-Financials!N57-Financials!N52+Financials!N64+Financials!N69),ABS(Financials!O70-Financials!O57-Financials!O52+Financials!O64+Financials!O69))</f>
        <v/>
      </c>
      <c r="C19" s="44">
        <f>0.000001</f>
        <v/>
      </c>
      <c r="D19" s="7" t="inlineStr">
        <is>
          <t>formula</t>
        </is>
      </c>
      <c r="E19" s="5">
        <f>IF(B19&lt;=C19,"PASS","FAIL")</f>
        <v/>
      </c>
    </row>
    <row r="20">
      <c r="A20" t="inlineStr">
        <is>
          <t>The filed columns carry the filed totals - revenue, gross profit, operating income, net income</t>
        </is>
      </c>
      <c r="B20" s="44">
        <f>MAX(ABS(Financials!B13-Financials!B74),ABS(Financials!C13-Financials!C74),ABS(Financials!D13-Financials!D74),ABS(Financials!E13-Financials!E74),ABS(Financials!B40-Financials!B75),ABS(Financials!C40-Financials!C75),ABS(Financials!D40-Financials!D75),ABS(Financials!E40-Financials!E75),ABS(Financials!B53-Financials!B76),ABS(Financials!C53-Financials!C76),ABS(Financials!D53-Financials!D76),ABS(Financials!E53-Financials!E76),ABS(Financials!B58-Financials!B77),ABS(Financials!C58-Financials!C77),ABS(Financials!D58-Financials!D77),ABS(Financials!E58-Financials!E77))</f>
        <v/>
      </c>
      <c r="C20" s="44">
        <f>0.000001</f>
        <v/>
      </c>
      <c r="D20" s="7" t="inlineStr">
        <is>
          <t>formula</t>
        </is>
      </c>
      <c r="E20" s="5">
        <f>IF(B20&lt;=C20,"PASS","FAIL")</f>
        <v/>
      </c>
    </row>
    <row r="21">
      <c r="A21" t="inlineStr">
        <is>
          <t>The working-capital base ties to the filed balance sheet within half a million</t>
        </is>
      </c>
      <c r="B21" s="44">
        <f>ABS(Financials!$B$67-Financials!$B$68)</f>
        <v/>
      </c>
      <c r="C21" s="44">
        <f>0.5</f>
        <v/>
      </c>
      <c r="D21" s="7" t="inlineStr">
        <is>
          <t>formula</t>
        </is>
      </c>
      <c r="E21" s="5">
        <f>IF(B21&lt;=C21,"PASS","FAIL")</f>
        <v/>
      </c>
    </row>
    <row r="22">
      <c r="A22" t="inlineStr">
        <is>
          <t>The valuation's first flow is the SECOND half of 2026, off the Financials sheet</t>
        </is>
      </c>
      <c r="B22" s="44">
        <f>Valuation!C7</f>
        <v/>
      </c>
      <c r="C22" s="44">
        <f>Financials!F70</f>
        <v/>
      </c>
      <c r="D22" s="7" t="inlineStr">
        <is>
          <t>formula</t>
        </is>
      </c>
      <c r="E22" s="5">
        <f>IF(ABS(B22-C22)&lt;=0.000001,"PASS","FAIL")</f>
        <v/>
      </c>
    </row>
    <row r="23">
      <c r="A23" t="inlineStr">
        <is>
          <t>The discount factors chain: each period opens exactly where the last one closed</t>
        </is>
      </c>
      <c r="B23" s="44">
        <f>MAX(ABS(Valuation!D12-Valuation!C13),ABS(Valuation!E12-Valuation!D13),ABS(Valuation!F12-Valuation!E13),ABS(Valuation!G12-Valuation!F13),ABS(Valuation!H12-Valuation!G13),ABS(Valuation!I12-Valuation!H13),ABS(Valuation!J12-Valuation!I13),ABS(Valuation!K12-Valuation!J13),ABS(Valuation!L12-Valuation!K13))</f>
        <v/>
      </c>
      <c r="C23" s="44">
        <f>0.0000001</f>
        <v/>
      </c>
      <c r="D23" s="7" t="inlineStr">
        <is>
          <t>formula</t>
        </is>
      </c>
      <c r="E23" s="5">
        <f>IF(B23&lt;=C23,"PASS","FAIL")</f>
        <v/>
      </c>
    </row>
    <row r="24">
      <c r="A24" t="inlineStr">
        <is>
          <t>The terminal rate is the schedule's own last period, not a separate number</t>
        </is>
      </c>
      <c r="B24" s="44">
        <f>Valuation!$B$20</f>
        <v/>
      </c>
      <c r="C24" s="44">
        <f>Valuation!L8</f>
        <v/>
      </c>
      <c r="D24" s="7" t="inlineStr">
        <is>
          <t>formula</t>
        </is>
      </c>
      <c r="E24" s="5">
        <f>IF(ABS(B24-C24)&lt;=0.0000001,"PASS","FAIL")</f>
        <v/>
      </c>
    </row>
    <row r="25">
      <c r="A25" t="inlineStr">
        <is>
          <t>Enterprise value on A is the explicit flows plus the terminal and nothing else</t>
        </is>
      </c>
      <c r="B25" s="44">
        <f>Valuation!$B$24</f>
        <v/>
      </c>
      <c r="C25" s="44">
        <f>Valuation!$B$18+Valuation!$B$23</f>
        <v/>
      </c>
      <c r="D25" s="7" t="inlineStr">
        <is>
          <t>formula</t>
        </is>
      </c>
      <c r="E25" s="5">
        <f>IF(ABS(B25-C25)&lt;=0.000001,"PASS","FAIL")</f>
        <v/>
      </c>
    </row>
    <row r="26">
      <c r="A26" t="inlineStr">
        <is>
          <t>Enterprise value on B is the flows to the exit year plus the exit value and nothing else</t>
        </is>
      </c>
      <c r="B26" s="44">
        <f>Valuation!$B$33</f>
        <v/>
      </c>
      <c r="C26" s="44">
        <f>Valuation!$B$30+Valuation!$B$32</f>
        <v/>
      </c>
      <c r="D26" s="7" t="inlineStr">
        <is>
          <t>formula</t>
        </is>
      </c>
      <c r="E26" s="5">
        <f>IF(ABS(B26-C26)&lt;=0.000001,"PASS","FAIL")</f>
        <v/>
      </c>
    </row>
    <row r="27">
      <c r="A27" t="inlineStr">
        <is>
          <t>The exit multiple is DERIVED: it equals the multiple the path's own later flows imply</t>
        </is>
      </c>
      <c r="B27" s="44">
        <f>Valuation!$B$29</f>
        <v/>
      </c>
      <c r="C27" s="44">
        <f>Valuation!$B$35</f>
        <v/>
      </c>
      <c r="D27" s="7" t="inlineStr">
        <is>
          <t>formula</t>
        </is>
      </c>
      <c r="E27" s="5">
        <f>IF(ABS(B27-C27)&lt;=0.01,"PASS","FAIL")</f>
        <v/>
      </c>
    </row>
    <row r="28">
      <c r="A28" t="inlineStr">
        <is>
          <t>The two instruments agree within five cents - one path read two ways, the exit multiple stored to one decimal</t>
        </is>
      </c>
      <c r="B28" s="44">
        <f>ABS(Valuation!$B$42-Valuation!$B$43)</f>
        <v/>
      </c>
      <c r="C28" s="44">
        <f>0.05</f>
        <v/>
      </c>
      <c r="D28" s="7" t="inlineStr">
        <is>
          <t>formula</t>
        </is>
      </c>
      <c r="E28" s="5">
        <f>IF(B28&lt;=C28,"PASS","FAIL")</f>
        <v/>
      </c>
    </row>
    <row r="29">
      <c r="A29" t="inlineStr">
        <is>
          <t>The price on Summary is below the value, so the note's direction is the model's</t>
        </is>
      </c>
      <c r="B29" s="44">
        <f>Summary!$B$7</f>
        <v/>
      </c>
      <c r="C29" s="44">
        <f>Valuation!$B$42</f>
        <v/>
      </c>
      <c r="D29" s="7" t="inlineStr">
        <is>
          <t>formula</t>
        </is>
      </c>
      <c r="E29" s="5">
        <f>IF(B29&lt;=C29,"PASS","FAIL")</f>
        <v/>
      </c>
    </row>
    <row r="30">
      <c r="A30" t="inlineStr">
        <is>
          <t>Cash operating expense never falls in dollars while revenue rises</t>
        </is>
      </c>
      <c r="B30" s="44">
        <f>MIN(Financials!H47-Financials!G47,Financials!I47-Financials!H47,Financials!J47-Financials!I47,Financials!K47-Financials!J47,Financials!L47-Financials!K47,Financials!M47-Financials!L47,Financials!N47-Financials!M47,Financials!O47-Financials!N47)</f>
        <v/>
      </c>
      <c r="C30" s="44">
        <f>0</f>
        <v/>
      </c>
      <c r="D30" s="7" t="inlineStr">
        <is>
          <t>formula</t>
        </is>
      </c>
      <c r="E30" s="5">
        <f>IF(B30&gt;=C30,"PASS","FAIL")</f>
        <v/>
      </c>
    </row>
    <row r="31">
      <c r="A31" t="inlineStr">
        <is>
          <t>The scenario table's own path row is the value the Valuation sheet computes</t>
        </is>
      </c>
      <c r="B31" s="44">
        <f>Scenarios!$C$8</f>
        <v/>
      </c>
      <c r="C31" s="44">
        <f>ROUND(Valuation!$B$42,2)</f>
        <v/>
      </c>
      <c r="D31" s="7" t="inlineStr">
        <is>
          <t>formula</t>
        </is>
      </c>
      <c r="E31" s="5">
        <f>IF(ABS(B31-C31)&lt;=0.005,"PASS","FAIL")</f>
        <v/>
      </c>
    </row>
    <row r="32">
      <c r="A32" t="inlineStr">
        <is>
          <t>The scenario table's own path row on B likewise</t>
        </is>
      </c>
      <c r="B32" s="44">
        <f>Scenarios!$D$8</f>
        <v/>
      </c>
      <c r="C32" s="44">
        <f>ROUND(Valuation!$B$43,2)</f>
        <v/>
      </c>
      <c r="D32" s="7" t="inlineStr">
        <is>
          <t>formula</t>
        </is>
      </c>
      <c r="E32" s="5">
        <f>IF(ABS(B32-C32)&lt;=0.005,"PASS","FAIL")</f>
        <v/>
      </c>
    </row>
    <row r="33">
      <c r="A33" t="inlineStr">
        <is>
          <t>Sensitivity grid 1's own row and column meet at the model's own value</t>
        </is>
      </c>
      <c r="B33" s="44">
        <f>Sensitivity!$G$8</f>
        <v/>
      </c>
      <c r="C33" s="44">
        <f>ROUND(Valuation!$B$42,2)</f>
        <v/>
      </c>
      <c r="D33" s="7" t="inlineStr">
        <is>
          <t>formula</t>
        </is>
      </c>
      <c r="E33" s="5">
        <f>IF(ABS(B33-C33)&lt;=0.005,"PASS","FAIL")</f>
        <v/>
      </c>
    </row>
    <row r="34">
      <c r="A34" t="inlineStr">
        <is>
          <t>Sensitivity grid 2's unshifted row at 14 times is below the model's value, which is struck at 14.9 times</t>
        </is>
      </c>
      <c r="B34" s="44">
        <f>Sensitivity!$H$19</f>
        <v/>
      </c>
      <c r="C34" s="44">
        <f>Valuation!$B$43</f>
        <v/>
      </c>
      <c r="D34" s="7" t="inlineStr">
        <is>
          <t>formula</t>
        </is>
      </c>
      <c r="E34" s="5">
        <f>IF(B34&lt;=C34,"PASS","FAIL")</f>
        <v/>
      </c>
    </row>
    <row r="35">
      <c r="A35" t="inlineStr">
        <is>
          <t>The Estimates sheet's own FY2027 revenue is the Financials sheet's, not a second figure</t>
        </is>
      </c>
      <c r="B35" s="44">
        <f>Estimates!$C$9</f>
        <v/>
      </c>
      <c r="C35" s="44">
        <f>Financials!G13</f>
        <v/>
      </c>
      <c r="D35" s="7" t="inlineStr">
        <is>
          <t>formula</t>
        </is>
      </c>
      <c r="E35" s="5">
        <f>IF(ABS(B35-C35)&lt;=0.000001,"PASS","FAIL")</f>
        <v/>
      </c>
    </row>
    <row r="36">
      <c r="A36" t="inlineStr">
        <is>
          <t>The model is BELOW consensus on gross margin in both years the vendor publishes one</t>
        </is>
      </c>
      <c r="B36" s="44">
        <f>MAX(Estimates!$C$19,Estimates!$D$19)</f>
        <v/>
      </c>
      <c r="C36" s="44">
        <f>0</f>
        <v/>
      </c>
      <c r="D36" s="7" t="inlineStr">
        <is>
          <t>formula</t>
        </is>
      </c>
      <c r="E36" s="5">
        <f>IF(B36&lt;=C36,"PASS","FAIL")</f>
        <v/>
      </c>
    </row>
    <row r="37">
      <c r="A37" t="inlineStr">
        <is>
          <t>The re-struck value equals the figure record/PIN.md pins, on both instruments, to four decimals</t>
        </is>
      </c>
      <c r="B37" s="7" t="inlineStr">
        <is>
          <t>A 249.632614  B 249.677423</t>
        </is>
      </c>
      <c r="C37" s="7" t="inlineStr">
        <is>
          <t>A 249.6326  B 249.6774</t>
        </is>
      </c>
      <c r="D37" s="7" t="inlineStr">
        <is>
          <t>build</t>
        </is>
      </c>
      <c r="E37" s="5" t="inlineStr">
        <is>
          <t>PASS</t>
        </is>
      </c>
    </row>
    <row r="38">
      <c r="A38" t="inlineStr">
        <is>
          <t>The filed archive's own components reproduce its own totals for FY2023A-FY2025A and the filed half of 2026 - revenue less cost is gross profit, gross profit less operating expense is operating income, and the three expense lines sum to the total</t>
        </is>
      </c>
      <c r="B38" s="7" t="inlineStr">
        <is>
          <t>12 of 12 tie</t>
        </is>
      </c>
      <c r="C38" s="7" t="inlineStr">
        <is>
          <t>every figure to $0.000001M</t>
        </is>
      </c>
      <c r="D38" s="7" t="inlineStr">
        <is>
          <t>build</t>
        </is>
      </c>
      <c r="E38" s="5" t="inlineStr">
        <is>
          <t>PASS</t>
        </is>
      </c>
    </row>
    <row r="39">
      <c r="A39" t="inlineStr">
        <is>
          <t>Every scenario row is the pinned builder's own run of the record's named case, and the same case at the RECORD's own clock reproduces the ladder the research record publishes, to the dollar - including the one case this sheet leaves out. Two cells of that published table are one higher than the rounding of the builder's own figure; they are named in the Value column, and the builder's figures are what this workbook carries</t>
        </is>
      </c>
      <c r="B39" s="7" t="inlineStr">
        <is>
          <t>53 of 53 agree</t>
        </is>
      </c>
      <c r="C39" s="7" t="inlineStr">
        <is>
          <t>the builder here, and the record's published ladder at its own clock</t>
        </is>
      </c>
      <c r="D39" s="7" t="inlineStr">
        <is>
          <t>build</t>
        </is>
      </c>
      <c r="E39" s="5" t="inlineStr">
        <is>
          <t>PASS</t>
        </is>
      </c>
    </row>
    <row r="40">
      <c r="A40" t="inlineStr">
        <is>
          <t>Every joint set likewise, at both clocks</t>
        </is>
      </c>
      <c r="B40" s="7" t="inlineStr">
        <is>
          <t>10 of 10 agree</t>
        </is>
      </c>
      <c r="C40" s="7" t="inlineStr">
        <is>
          <t>the builder here, and the record's published joint sets at its own clock</t>
        </is>
      </c>
      <c r="D40" s="7" t="inlineStr">
        <is>
          <t>build</t>
        </is>
      </c>
      <c r="E40" s="5" t="inlineStr">
        <is>
          <t>PASS</t>
        </is>
      </c>
    </row>
    <row r="41">
      <c r="A41" t="inlineStr">
        <is>
          <t>Sensitivity grid 1 is the builder's own run in every cell, and at the record's own clock reproduces the grid the research record publishes, to the dollar</t>
        </is>
      </c>
      <c r="B41" s="7" t="inlineStr">
        <is>
          <t>70 of 70 agree at both clocks</t>
        </is>
      </c>
      <c r="C41" s="7" t="inlineStr">
        <is>
          <t>the record's first grid</t>
        </is>
      </c>
      <c r="D41" s="7" t="inlineStr">
        <is>
          <t>build</t>
        </is>
      </c>
      <c r="E41" s="5" t="inlineStr">
        <is>
          <t>PASS</t>
        </is>
      </c>
    </row>
    <row r="42">
      <c r="A42" t="inlineStr">
        <is>
          <t>Sensitivity grid 2 likewise</t>
        </is>
      </c>
      <c r="B42" s="7" t="inlineStr">
        <is>
          <t>70 of 70 agree at both clocks</t>
        </is>
      </c>
      <c r="C42" s="7" t="inlineStr">
        <is>
          <t>the record's second grid</t>
        </is>
      </c>
      <c r="D42" s="7" t="inlineStr">
        <is>
          <t>build</t>
        </is>
      </c>
      <c r="E42" s="5" t="inlineStr">
        <is>
          <t>PASS</t>
        </is>
      </c>
    </row>
    <row r="43">
      <c r="A43" t="inlineStr">
        <is>
          <t>Every consensus figure on the Estimates sheet is the snapshot's own, with the snapshot's own contributor count, and no cell was constructed</t>
        </is>
      </c>
      <c r="B43" s="7" t="inlineStr">
        <is>
          <t>18 of 18 cells are the snapshot's</t>
        </is>
      </c>
      <c r="C43" s="7" t="inlineStr">
        <is>
          <t>evidence/consensus-capiq.md and its verification</t>
        </is>
      </c>
      <c r="D43" s="7" t="inlineStr">
        <is>
          <t>build</t>
        </is>
      </c>
      <c r="E43" s="5" t="inlineStr">
        <is>
          <t>PASS</t>
        </is>
      </c>
    </row>
    <row r="44">
      <c r="A44" t="inlineStr">
        <is>
          <t>The record's held-input solve of the price appears nowhere in this workbook, and the values file carries no such block to leak from</t>
        </is>
      </c>
      <c r="B44" s="7" t="inlineStr">
        <is>
          <t>absent, and no such block in the values file</t>
        </is>
      </c>
      <c r="C44" s="7" t="inlineStr">
        <is>
          <t>purged 2026-08-18</t>
        </is>
      </c>
      <c r="D44" s="7" t="inlineStr">
        <is>
          <t>build</t>
        </is>
      </c>
      <c r="E44" s="5" t="inlineStr">
        <is>
          <t>PASS</t>
        </is>
      </c>
    </row>
    <row r="45">
      <c r="A45" t="inlineStr">
        <is>
          <t>No revenue row sits beside a volume row of the same generation, anywhere in this workbook - so no per-module price can be divided out of any two published rows</t>
        </is>
      </c>
      <c r="B45" s="7" t="inlineStr">
        <is>
          <t>volume rows name 1.6t, 800g; no money row names any generation</t>
        </is>
      </c>
      <c r="C45" s="7" t="inlineStr">
        <is>
          <t>the operator's ruling of 2026-09-13</t>
        </is>
      </c>
      <c r="D45" s="7" t="inlineStr">
        <is>
          <t>build</t>
        </is>
      </c>
      <c r="E45" s="5" t="inlineStr">
        <is>
          <t>PASS</t>
        </is>
      </c>
    </row>
    <row r="46">
      <c r="A46" t="inlineStr">
        <is>
          <t>No row anywhere reproduces the record's per-module price series for any generation</t>
        </is>
      </c>
      <c r="B46" s="7" t="inlineStr">
        <is>
          <t>no price series anywhere</t>
        </is>
      </c>
      <c r="C46" s="7" t="inlineStr">
        <is>
          <t>the test of 2026-09-13; the illustration M-01</t>
        </is>
      </c>
      <c r="D46" s="7" t="inlineStr">
        <is>
          <t>build</t>
        </is>
      </c>
      <c r="E46" s="5" t="inlineStr">
        <is>
          <t>PASS</t>
        </is>
      </c>
    </row>
    <row r="47">
      <c r="A47" t="inlineStr">
        <is>
          <t>No per-unit price appears in any cell, label or comment, outside the few cells that exist to say it is absent</t>
        </is>
      </c>
      <c r="B47" s="7" t="inlineStr">
        <is>
          <t>none outside the 57 admitted cells</t>
        </is>
      </c>
      <c r="C47" s="7" t="inlineStr">
        <is>
          <t>the test of 2026-09-13</t>
        </is>
      </c>
      <c r="D47" s="7" t="inlineStr">
        <is>
          <t>build</t>
        </is>
      </c>
      <c r="E47" s="5" t="inlineStr">
        <is>
          <t>PASS</t>
        </is>
      </c>
    </row>
    <row r="48">
      <c r="A48" t="inlineStr">
        <is>
          <t>Every revenue and volume input on the Financials sheet is the model of record's own figure, and the one published data-center line is its four internal generation lines added</t>
        </is>
      </c>
      <c r="B48" s="7" t="inlineStr">
        <is>
          <t>70 of 70 tie</t>
        </is>
      </c>
      <c r="C48" s="7" t="inlineStr">
        <is>
          <t>the model of record's own figures, to $0.000001M</t>
        </is>
      </c>
      <c r="D48" s="7" t="inlineStr">
        <is>
          <t>build</t>
        </is>
      </c>
      <c r="E48" s="5" t="inlineStr">
        <is>
          <t>PASS</t>
        </is>
      </c>
    </row>
    <row r="49">
      <c r="A49" t="inlineStr">
        <is>
          <t>Every reference in every formula resolves to a cell that has a value - no fixed offset has drifted onto a blank row and no cross-sheet reference has landed on its own sheet</t>
        </is>
      </c>
      <c r="B49" s="7" t="inlineStr">
        <is>
          <t>1279 references all resolve</t>
        </is>
      </c>
      <c r="C49" s="7" t="inlineStr">
        <is>
          <t>modelling-practices section 2</t>
        </is>
      </c>
      <c r="D49" s="7" t="inlineStr">
        <is>
          <t>build</t>
        </is>
      </c>
      <c r="E49" s="5" t="inlineStr">
        <is>
          <t>PASS</t>
        </is>
      </c>
    </row>
    <row r="50">
      <c r="A50" t="inlineStr">
        <is>
          <t>No label is parsed as a formula anywhere in the workbook</t>
        </is>
      </c>
      <c r="B50" s="7" t="inlineStr">
        <is>
          <t>none</t>
        </is>
      </c>
      <c r="C50" s="7" t="inlineStr">
        <is>
          <t>modelling-practices section 2</t>
        </is>
      </c>
      <c r="D50" s="7" t="inlineStr">
        <is>
          <t>build</t>
        </is>
      </c>
      <c r="E50" s="5" t="inlineStr">
        <is>
          <t>PASS</t>
        </is>
      </c>
    </row>
    <row r="51">
      <c r="A51" t="inlineStr">
        <is>
          <t>No volatile function anywhere - the workbook cannot change on being opened</t>
        </is>
      </c>
      <c r="B51" s="7" t="inlineStr">
        <is>
          <t>none</t>
        </is>
      </c>
      <c r="C51" s="7" t="inlineStr">
        <is>
          <t>TODAY, NOW, RAND, OFFSET, INDIRECT</t>
        </is>
      </c>
      <c r="D51" s="7" t="inlineStr">
        <is>
          <t>build</t>
        </is>
      </c>
      <c r="E51" s="5" t="inlineStr">
        <is>
          <t>PASS</t>
        </is>
      </c>
    </row>
    <row r="52">
      <c r="A52" t="inlineStr">
        <is>
          <t>No rendered date past the note's date of record, 2026-08-19</t>
        </is>
      </c>
      <c r="B52" s="7" t="inlineStr">
        <is>
          <t>none</t>
        </is>
      </c>
      <c r="C52" s="7" t="inlineStr">
        <is>
          <t>as-of-discipline.md</t>
        </is>
      </c>
      <c r="D52" s="7" t="inlineStr">
        <is>
          <t>build</t>
        </is>
      </c>
      <c r="E52" s="5" t="inlineStr">
        <is>
          <t>PASS</t>
        </is>
      </c>
    </row>
    <row r="53">
      <c r="A53" t="inlineStr">
        <is>
          <t>No empty column between two used ones, on any sheet</t>
        </is>
      </c>
      <c r="B53" s="7" t="inlineStr">
        <is>
          <t>none</t>
        </is>
      </c>
      <c r="C53" s="7" t="inlineStr">
        <is>
          <t>modelling-practices section 3</t>
        </is>
      </c>
      <c r="D53" s="7" t="inlineStr">
        <is>
          <t>build</t>
        </is>
      </c>
      <c r="E53" s="5" t="inlineStr">
        <is>
          <t>PASS</t>
        </is>
      </c>
    </row>
    <row r="54">
      <c r="A54" t="inlineStr">
        <is>
          <t>No merged cell anywhere - every header band is centred across selection</t>
        </is>
      </c>
      <c r="B54" s="7" t="inlineStr">
        <is>
          <t>none</t>
        </is>
      </c>
      <c r="C54" s="7" t="inlineStr">
        <is>
          <t>modelling-practices section 3</t>
        </is>
      </c>
      <c r="D54" s="7" t="inlineStr">
        <is>
          <t>build</t>
        </is>
      </c>
      <c r="E54" s="5" t="inlineStr">
        <is>
          <t>PASS</t>
        </is>
      </c>
    </row>
    <row r="55"/>
    <row r="56">
      <c r="A56" s="7" t="inlineStr">
        <is>
          <t>A check that has never failed is not evidence of correctness - it may be asserting something that cannot fail. These assert relationships, not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Nico Peng</dc:creator>
  <dc:title xmlns:dc="http://purl.org/dc/elements/1.1/">Applied Optoelectronics (AAOI) - published model</dc:title>
  <dcterms:created xmlns:dcterms="http://purl.org/dc/terms/" xmlns:xsi="http://www.w3.org/2001/XMLSchema-instance" xsi:type="dcterms:W3CDTF">2026-08-19T00:00:00Z</dcterms:created>
  <dcterms:modified xmlns:dcterms="http://purl.org/dc/terms/" xmlns:xsi="http://www.w3.org/2001/XMLSchema-instance" xsi:type="dcterms:W3CDTF">2026-08-19T00:00:00Z</dcterms:modified>
  <cp:lastModifiedBy>Nico Peng</cp:lastModifiedBy>
</cp:coreProperties>
</file>