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comments/comment3.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Financials" sheetId="2" state="visible" r:id="rId2"/>
    <sheet xmlns:r="http://schemas.openxmlformats.org/officeDocument/2006/relationships" name="Valuation" sheetId="3" state="visible" r:id="rId3"/>
    <sheet xmlns:r="http://schemas.openxmlformats.org/officeDocument/2006/relationships" name="Scenarios" sheetId="4" state="visible" r:id="rId4"/>
    <sheet xmlns:r="http://schemas.openxmlformats.org/officeDocument/2006/relationships" name="Sensitivity" sheetId="5" state="visible" r:id="rId5"/>
    <sheet xmlns:r="http://schemas.openxmlformats.org/officeDocument/2006/relationships" name="Checks" sheetId="6" state="visible" r:id="rId6"/>
  </sheets>
  <definedNames/>
  <calcPr calcId="124519" fullCalcOnLoad="1"/>
</workbook>
</file>

<file path=xl/styles.xml><?xml version="1.0" encoding="utf-8"?>
<styleSheet xmlns="http://schemas.openxmlformats.org/spreadsheetml/2006/main">
  <numFmts count="7">
    <numFmt numFmtId="164" formatCode="$#,##0.00"/>
    <numFmt numFmtId="165" formatCode="#,##0.0;(#,##0.0)"/>
    <numFmt numFmtId="166" formatCode="#,##0.000"/>
    <numFmt numFmtId="167" formatCode="0.0%"/>
    <numFmt numFmtId="168" formatCode="0.0000"/>
    <numFmt numFmtId="169" formatCode="0.00&quot;x&quot;"/>
    <numFmt numFmtId="170" formatCode="#,##0.00000000"/>
  </numFmts>
  <fonts count="8">
    <font>
      <name val="Calibri"/>
      <family val="2"/>
      <color theme="1"/>
      <sz val="11"/>
      <scheme val="minor"/>
    </font>
    <font>
      <b val="1"/>
      <color rgb="00FFFFFF"/>
      <sz val="13"/>
    </font>
    <font>
      <b val="1"/>
    </font>
    <font>
      <i val="1"/>
      <color rgb="00666666"/>
      <sz val="9"/>
    </font>
    <font>
      <color rgb="000000CC"/>
    </font>
    <font>
      <i val="1"/>
      <color rgb="00404040"/>
    </font>
    <font>
      <color rgb="00000000"/>
    </font>
    <font/>
  </fonts>
  <fills count="5">
    <fill>
      <patternFill/>
    </fill>
    <fill>
      <patternFill patternType="gray125"/>
    </fill>
    <fill>
      <patternFill patternType="solid">
        <fgColor rgb="001F3864"/>
      </patternFill>
    </fill>
    <fill>
      <patternFill patternType="solid">
        <fgColor rgb="00D9E1F2"/>
      </patternFill>
    </fill>
    <fill>
      <patternFill patternType="solid">
        <fgColor rgb="00FFF2CC"/>
      </patternFill>
    </fill>
  </fills>
  <borders count="3">
    <border>
      <left/>
      <right/>
      <top/>
      <bottom/>
      <diagonal/>
    </border>
    <border>
      <left style="thin">
        <color rgb="00AAAAAA"/>
      </left>
      <right style="thin">
        <color rgb="00AAAAAA"/>
      </right>
      <top style="thin">
        <color rgb="00AAAAAA"/>
      </top>
      <bottom style="thin">
        <color rgb="00AAAAAA"/>
      </bottom>
    </border>
    <border/>
  </borders>
  <cellStyleXfs count="1">
    <xf numFmtId="0" fontId="0" fillId="0" borderId="0"/>
  </cellStyleXfs>
  <cellXfs count="39">
    <xf numFmtId="0" fontId="0" fillId="0" borderId="0" pivotButton="0" quotePrefix="0" xfId="0"/>
    <xf numFmtId="0" fontId="1" fillId="2" borderId="0" applyAlignment="1" pivotButton="0" quotePrefix="0" xfId="0">
      <alignment horizontal="centerContinuous" vertical="center"/>
    </xf>
    <xf numFmtId="0" fontId="0" fillId="2" borderId="0" applyAlignment="1" pivotButton="0" quotePrefix="0" xfId="0">
      <alignment horizontal="centerContinuous" vertical="center"/>
    </xf>
    <xf numFmtId="0" fontId="2" fillId="3" borderId="0" pivotButton="0" quotePrefix="0" xfId="0"/>
    <xf numFmtId="0" fontId="0" fillId="3" borderId="0" pivotButton="0" quotePrefix="0" xfId="0"/>
    <xf numFmtId="0" fontId="2" fillId="0" borderId="0" pivotButton="0" quotePrefix="0" xfId="0"/>
    <xf numFmtId="164" fontId="2" fillId="3" borderId="0" pivotButton="0" quotePrefix="0" xfId="0"/>
    <xf numFmtId="0" fontId="0" fillId="0" borderId="0" applyAlignment="1" pivotButton="0" quotePrefix="0" xfId="0">
      <alignment horizontal="right"/>
    </xf>
    <xf numFmtId="0" fontId="3" fillId="0" borderId="0" pivotButton="0" quotePrefix="0" xfId="0"/>
    <xf numFmtId="164" fontId="4" fillId="4" borderId="1" pivotButton="0" quotePrefix="0" xfId="0"/>
    <xf numFmtId="169" fontId="6" fillId="0" borderId="0" pivotButton="0" quotePrefix="0" xfId="0"/>
    <xf numFmtId="167" fontId="6" fillId="0" borderId="0" pivotButton="0" quotePrefix="0" xfId="0"/>
    <xf numFmtId="165" fontId="2" fillId="0" borderId="0" pivotButton="0" quotePrefix="0" xfId="0"/>
    <xf numFmtId="165" fontId="4" fillId="4" borderId="1" pivotButton="0" quotePrefix="0" xfId="0"/>
    <xf numFmtId="165" fontId="2" fillId="3" borderId="0" pivotButton="0" quotePrefix="0" xfId="0"/>
    <xf numFmtId="166" fontId="4" fillId="4" borderId="1" pivotButton="0" quotePrefix="0" xfId="0"/>
    <xf numFmtId="166" fontId="2" fillId="0" borderId="0" pivotButton="0" quotePrefix="0" xfId="0"/>
    <xf numFmtId="166" fontId="6" fillId="0" borderId="0" pivotButton="0" quotePrefix="0" xfId="0"/>
    <xf numFmtId="166" fontId="2" fillId="3" borderId="0" pivotButton="0" quotePrefix="0" xfId="0"/>
    <xf numFmtId="165" fontId="6" fillId="0" borderId="0" pivotButton="0" quotePrefix="0" xfId="0"/>
    <xf numFmtId="0" fontId="2" fillId="3" borderId="0" applyAlignment="1" pivotButton="0" quotePrefix="0" xfId="0">
      <alignment horizontal="right"/>
    </xf>
    <xf numFmtId="165" fontId="5" fillId="0" borderId="0" pivotButton="0" quotePrefix="0" xfId="0"/>
    <xf numFmtId="165" fontId="6" fillId="0" borderId="2" pivotButton="0" quotePrefix="0" xfId="0"/>
    <xf numFmtId="3" fontId="4" fillId="4" borderId="1" pivotButton="0" quotePrefix="0" xfId="0"/>
    <xf numFmtId="167" fontId="4" fillId="4" borderId="1" pivotButton="0" quotePrefix="0" xfId="0"/>
    <xf numFmtId="167" fontId="2" fillId="0" borderId="0" pivotButton="0" quotePrefix="0" xfId="0"/>
    <xf numFmtId="166" fontId="5" fillId="0" borderId="0" pivotButton="0" quotePrefix="0" xfId="0"/>
    <xf numFmtId="164" fontId="2" fillId="0" borderId="0" pivotButton="0" quotePrefix="0" xfId="0"/>
    <xf numFmtId="164" fontId="5" fillId="0" borderId="0" pivotButton="0" quotePrefix="0" xfId="0"/>
    <xf numFmtId="168" fontId="4" fillId="4" borderId="1" pivotButton="0" quotePrefix="0" xfId="0"/>
    <xf numFmtId="168" fontId="6" fillId="0" borderId="0" pivotButton="0" quotePrefix="0" xfId="0"/>
    <xf numFmtId="10" fontId="4" fillId="4" borderId="1" pivotButton="0" quotePrefix="0" xfId="0"/>
    <xf numFmtId="169" fontId="2" fillId="0" borderId="0" pivotButton="0" quotePrefix="0" xfId="0"/>
    <xf numFmtId="0" fontId="7" fillId="0" borderId="0" pivotButton="0" quotePrefix="0" xfId="0"/>
    <xf numFmtId="0" fontId="0" fillId="0" borderId="0" applyAlignment="1" pivotButton="0" quotePrefix="0" xfId="0">
      <alignment vertical="top" wrapText="1"/>
    </xf>
    <xf numFmtId="164" fontId="0" fillId="0" borderId="0" pivotButton="0" quotePrefix="0" xfId="0"/>
    <xf numFmtId="167" fontId="2" fillId="3" borderId="0" applyAlignment="1" pivotButton="0" quotePrefix="0" xfId="0">
      <alignment horizontal="right"/>
    </xf>
    <xf numFmtId="0" fontId="2" fillId="3" borderId="0" applyAlignment="1" pivotButton="0" quotePrefix="0" xfId="0">
      <alignment horizontal="right" wrapText="1"/>
    </xf>
    <xf numFmtId="17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Nico Peng</author>
  </authors>
  <commentList>
    <comment ref="B5" authorId="0" shapeId="0">
      <text>
        <t>The model of record's values are re-struck with the discount clock started at 2026-08-26, the note's date of record: its pinned builder run with the price and the clock moved there and every other input as committed (record/PIN.md). The value date and the price date are the same day.</t>
      </text>
    </comment>
    <comment ref="B6" authorId="0" shapeId="0">
      <text>
        <t>The last close on or before the note's as-of date, from the unadjusted daily series at evidence/be-daily-prices-2021-2026.csv; the value date above is the same day.</t>
      </text>
    </comment>
    <comment ref="B12" authorId="0" shapeId="0">
      <text>
        <t>The 10-Q at 2026-06-30: cash and restricted cash. The model of record's bridge, item by item, is the five rows here and no sixth.</t>
      </text>
    </comment>
    <comment ref="B13" authorId="0" shapeId="0">
      <text>
        <t>The financing obligations of the fleets whose electricity revenue the forecast still carries, through the year the arrangements expire.</t>
      </text>
    </comment>
    <comment ref="B16" authorId="0" shapeId="0">
      <text>
        <t>Cash already received for revenue the forecast flows still carry — customer deposits and deferred revenue at 2026-06-30. Deducted here so it is not counted twice.</t>
      </text>
    </comment>
    <comment ref="B22" authorId="0" shapeId="0">
      <text>
        <t>Note 10. The unrecognized expense on these awards is charged once — in this count — and the stock-compensation row on the Financials sheet is net of it, so the same cost is never charged twice.</t>
      </text>
    </comment>
    <comment ref="B23" authorId="0" shapeId="0">
      <text>
        <t>Above-target performance shares the record makes probable: the chief executive's 2026-27 tranches at the 300% the 2025 tranche paid, the June 2026 award's 300%, the officers' 200%.</t>
      </text>
    </comment>
    <comment ref="B28" authorId="0" shapeId="0">
      <text>
        <t>$2,500M of principal at a $194.97 conversion price, 5.129 shares per $1,000. Above the conversion price the notes are shares and no debt; below it they are $2,500M at face and these shares do not exist. The test is the row beneath.</t>
      </text>
    </comment>
  </commentList>
</comments>
</file>

<file path=xl/comments/comment2.xml><?xml version="1.0" encoding="utf-8"?>
<comments xmlns="http://schemas.openxmlformats.org/spreadsheetml/2006/main">
  <authors>
    <author>Nico Peng</author>
  </authors>
  <commentList>
    <comment ref="E6" authorId="0" shapeId="0">
      <text>
        <t>FY2026E is the filed first half plus the second half's estimate, line by line — the two columns at the foot of this sheet. The filed half is the two 10-Qs; the estimated half is the model of record's 2026 row, which is the second half alone.</t>
      </text>
    </comment>
    <comment ref="F6" authorId="0" shapeId="0">
      <text>
        <t>Product revenue for 2027 — read from the model of record's 2027 row (the `product` line of record/be-model-values.json). The chain beneath it is in the research record's valuation section; this workbook re-derives nothing.</t>
      </text>
    </comment>
    <comment ref="G6" authorId="0" shapeId="0">
      <text>
        <t>Product revenue for 2028 — read from the model of record's 2028 row (the `product` line of record/be-model-values.json). The chain beneath it is in the research record's valuation section; this workbook re-derives nothing.</t>
      </text>
    </comment>
    <comment ref="H6" authorId="0" shapeId="0">
      <text>
        <t>Product revenue for 2029 — read from the model of record's 2029 row (the `product` line of record/be-model-values.json). The chain beneath it is in the research record's valuation section; this workbook re-derives nothing.</t>
      </text>
    </comment>
    <comment ref="I6" authorId="0" shapeId="0">
      <text>
        <t>Product revenue for 2030 — read from the model of record's 2030 row (the `product` line of record/be-model-values.json). The chain beneath it is in the research record's valuation section; this workbook re-derives nothing.</t>
      </text>
    </comment>
    <comment ref="J6" authorId="0" shapeId="0">
      <text>
        <t>Product revenue for 2031 — read from the model of record's 2031 row (the `product` line of record/be-model-values.json). The chain beneath it is in the research record's valuation section; this workbook re-derives nothing.</t>
      </text>
    </comment>
    <comment ref="K6" authorId="0" shapeId="0">
      <text>
        <t>Product revenue for 2032 — read from the model of record's 2032 row (the `product` line of record/be-model-values.json). The chain beneath it is in the research record's valuation section; this workbook re-derives nothing.</t>
      </text>
    </comment>
    <comment ref="L6" authorId="0" shapeId="0">
      <text>
        <t>Product revenue for 2033 — read from the model of record's 2033 row (the `product` line of record/be-model-values.json). The chain beneath it is in the research record's valuation section; this workbook re-derives nothing.</t>
      </text>
    </comment>
    <comment ref="M6" authorId="0" shapeId="0">
      <text>
        <t>Product revenue for 2034 — read from the model of record's 2034 row (the `product` line of record/be-model-values.json). The chain beneath it is in the research record's valuation section; this workbook re-derives nothing.</t>
      </text>
    </comment>
    <comment ref="N6" authorId="0" shapeId="0">
      <text>
        <t>Product revenue for 2035 — read from the model of record's 2035 row (the `product` line of record/be-model-values.json). The chain beneath it is in the research record's valuation section; this workbook re-derives nothing.</t>
      </text>
    </comment>
    <comment ref="F7" authorId="0" shapeId="0">
      <text>
        <t>Installation revenue for 2027 — read from the model of record's 2027 row (the `install` line of record/be-model-values.json). The chain beneath it is in the research record's valuation section; this workbook re-derives nothing.</t>
      </text>
    </comment>
    <comment ref="G7" authorId="0" shapeId="0">
      <text>
        <t>Installation revenue for 2028 — read from the model of record's 2028 row (the `install` line of record/be-model-values.json). The chain beneath it is in the research record's valuation section; this workbook re-derives nothing.</t>
      </text>
    </comment>
    <comment ref="H7" authorId="0" shapeId="0">
      <text>
        <t>Installation revenue for 2029 — read from the model of record's 2029 row (the `install` line of record/be-model-values.json). The chain beneath it is in the research record's valuation section; this workbook re-derives nothing.</t>
      </text>
    </comment>
    <comment ref="I7" authorId="0" shapeId="0">
      <text>
        <t>Installation revenue for 2030 — read from the model of record's 2030 row (the `install` line of record/be-model-values.json). The chain beneath it is in the research record's valuation section; this workbook re-derives nothing.</t>
      </text>
    </comment>
    <comment ref="J7" authorId="0" shapeId="0">
      <text>
        <t>Installation revenue for 2031 — read from the model of record's 2031 row (the `install` line of record/be-model-values.json). The chain beneath it is in the research record's valuation section; this workbook re-derives nothing.</t>
      </text>
    </comment>
    <comment ref="K7" authorId="0" shapeId="0">
      <text>
        <t>Installation revenue for 2032 — read from the model of record's 2032 row (the `install` line of record/be-model-values.json). The chain beneath it is in the research record's valuation section; this workbook re-derives nothing.</t>
      </text>
    </comment>
    <comment ref="L7" authorId="0" shapeId="0">
      <text>
        <t>Installation revenue for 2033 — read from the model of record's 2033 row (the `install` line of record/be-model-values.json). The chain beneath it is in the research record's valuation section; this workbook re-derives nothing.</t>
      </text>
    </comment>
    <comment ref="M7" authorId="0" shapeId="0">
      <text>
        <t>Installation revenue for 2034 — read from the model of record's 2034 row (the `install` line of record/be-model-values.json). The chain beneath it is in the research record's valuation section; this workbook re-derives nothing.</t>
      </text>
    </comment>
    <comment ref="N7" authorId="0" shapeId="0">
      <text>
        <t>Installation revenue for 2035 — read from the model of record's 2035 row (the `install` line of record/be-model-values.json). The chain beneath it is in the research record's valuation section; this workbook re-derives nothing.</t>
      </text>
    </comment>
    <comment ref="F8" authorId="0" shapeId="0">
      <text>
        <t>Built from the rows beneath the revenue block: the two fleets' megawatts under contract at their rates. The model of record's own 2027 service line is $584.4M, and the Checks tab asserts the tie.</t>
      </text>
    </comment>
    <comment ref="G8" authorId="0" shapeId="0">
      <text>
        <t>Built from the rows beneath the revenue block: the two fleets' megawatts under contract at their rates. The model of record's own 2028 service line is $1,256.4M, and the Checks tab asserts the tie.</t>
      </text>
    </comment>
    <comment ref="H8" authorId="0" shapeId="0">
      <text>
        <t>Built from the rows beneath the revenue block: the two fleets' megawatts under contract at their rates. The model of record's own 2029 service line is $2,312.4M, and the Checks tab asserts the tie.</t>
      </text>
    </comment>
    <comment ref="I8" authorId="0" shapeId="0">
      <text>
        <t>Built from the rows beneath the revenue block: the two fleets' megawatts under contract at their rates. The model of record's own 2030 service line is $3,752.4M, and the Checks tab asserts the tie.</t>
      </text>
    </comment>
    <comment ref="J8" authorId="0" shapeId="0">
      <text>
        <t>Built from the rows beneath the revenue block: the two fleets' megawatts under contract at their rates. The model of record's own 2031 service line is $5,563.3M, and the Checks tab asserts the tie.</t>
      </text>
    </comment>
    <comment ref="K8" authorId="0" shapeId="0">
      <text>
        <t>Built from the rows beneath the revenue block: the two fleets' megawatts under contract at their rates. The model of record's own 2032 service line is $7,759.0M, and the Checks tab asserts the tie.</t>
      </text>
    </comment>
    <comment ref="L8" authorId="0" shapeId="0">
      <text>
        <t>Built from the rows beneath the revenue block: the two fleets' megawatts under contract at their rates. The model of record's own 2033 service line is $10,339.2M, and the Checks tab asserts the tie.</t>
      </text>
    </comment>
    <comment ref="M8" authorId="0" shapeId="0">
      <text>
        <t>Built from the rows beneath the revenue block: the two fleets' megawatts under contract at their rates. The model of record's own 2034 service line is $13,304.0M, and the Checks tab asserts the tie.</t>
      </text>
    </comment>
    <comment ref="N8" authorId="0" shapeId="0">
      <text>
        <t>Built from the rows beneath the revenue block: the two fleets' megawatts under contract at their rates. The model of record's own 2035 service line is $16,581.4M, and the Checks tab asserts the tie.</t>
      </text>
    </comment>
    <comment ref="F9" authorId="0" shapeId="0">
      <text>
        <t>Electricity revenue for 2027 — read from the model of record's 2027 row (the `elec` line of record/be-model-values.json). The chain beneath it is in the research record's valuation section; this workbook re-derives nothing.</t>
      </text>
    </comment>
    <comment ref="G9" authorId="0" shapeId="0">
      <text>
        <t>Electricity revenue for 2028 — read from the model of record's 2028 row (the `elec` line of record/be-model-values.json). The chain beneath it is in the research record's valuation section; this workbook re-derives nothing.</t>
      </text>
    </comment>
    <comment ref="H9" authorId="0" shapeId="0">
      <text>
        <t>Electricity revenue for 2029 — read from the model of record's 2029 row (the `elec` line of record/be-model-values.json). The chain beneath it is in the research record's valuation section; this workbook re-derives nothing.</t>
      </text>
    </comment>
    <comment ref="I9" authorId="0" shapeId="0">
      <text>
        <t>Electricity revenue for 2030 — read from the model of record's 2030 row (the `elec` line of record/be-model-values.json). The chain beneath it is in the research record's valuation section; this workbook re-derives nothing.</t>
      </text>
    </comment>
    <comment ref="J9" authorId="0" shapeId="0">
      <text>
        <t>Electricity revenue for 2031 — read from the model of record's 2031 row (the `elec` line of record/be-model-values.json). The chain beneath it is in the research record's valuation section; this workbook re-derives nothing.</t>
      </text>
    </comment>
    <comment ref="K9" authorId="0" shapeId="0">
      <text>
        <t>Electricity revenue for 2032 — read from the model of record's 2032 row (the `elec` line of record/be-model-values.json). The chain beneath it is in the research record's valuation section; this workbook re-derives nothing.</t>
      </text>
    </comment>
    <comment ref="L9" authorId="0" shapeId="0">
      <text>
        <t>Electricity revenue for 2033 — read from the model of record's 2033 row (the `elec` line of record/be-model-values.json). The chain beneath it is in the research record's valuation section; this workbook re-derives nothing.</t>
      </text>
    </comment>
    <comment ref="M9" authorId="0" shapeId="0">
      <text>
        <t>Electricity revenue for 2034 — read from the model of record's 2034 row (the `elec` line of record/be-model-values.json). The chain beneath it is in the research record's valuation section; this workbook re-derives nothing.</t>
      </text>
    </comment>
    <comment ref="N9" authorId="0" shapeId="0">
      <text>
        <t>Electricity revenue for 2035 — read from the model of record's 2035 row (the `elec` line of record/be-model-values.json). The chain beneath it is in the research record's valuation section; this workbook re-derives nothing.</t>
      </text>
    </comment>
    <comment ref="F15" authorId="0" shapeId="0">
      <text>
        <t>The model of record's 2027 shipments (`ship`): the volume the product line above is built on, at the price the note states once in its prose. The note's thesis 1 is this row — the volume past the first site.</t>
      </text>
    </comment>
    <comment ref="G15" authorId="0" shapeId="0">
      <text>
        <t>The model of record's 2028 shipments (`ship`): the volume the product line above is built on, at the price the note states once in its prose. The note's thesis 1 is this row — the volume past the first site.</t>
      </text>
    </comment>
    <comment ref="H15" authorId="0" shapeId="0">
      <text>
        <t>The model of record's 2029 shipments (`ship`): the volume the product line above is built on, at the price the note states once in its prose. The note's thesis 1 is this row — the volume past the first site.</t>
      </text>
    </comment>
    <comment ref="I15" authorId="0" shapeId="0">
      <text>
        <t>The model of record's 2030 shipments (`ship`): the volume the product line above is built on, at the price the note states once in its prose. The note's thesis 1 is this row — the volume past the first site.</t>
      </text>
    </comment>
    <comment ref="J15" authorId="0" shapeId="0">
      <text>
        <t>The model of record's 2031 shipments (`ship`): the volume the product line above is built on, at the price the note states once in its prose. The note's thesis 1 is this row — the volume past the first site.</t>
      </text>
    </comment>
    <comment ref="K15" authorId="0" shapeId="0">
      <text>
        <t>The model of record's 2032 shipments (`ship`): the volume the product line above is built on, at the price the note states once in its prose. The note's thesis 1 is this row — the volume past the first site.</t>
      </text>
    </comment>
    <comment ref="L15" authorId="0" shapeId="0">
      <text>
        <t>The model of record's 2033 shipments (`ship`): the volume the product line above is built on, at the price the note states once in its prose. The note's thesis 1 is this row — the volume past the first site.</t>
      </text>
    </comment>
    <comment ref="M15" authorId="0" shapeId="0">
      <text>
        <t>The model of record's 2034 shipments (`ship`): the volume the product line above is built on, at the price the note states once in its prose. The note's thesis 1 is this row — the volume past the first site.</t>
      </text>
    </comment>
    <comment ref="N15" authorId="0" shapeId="0">
      <text>
        <t>The model of record's 2035 shipments (`ship`): the volume the product line above is built on, at the price the note states once in its prose. The note's thesis 1 is this row — the volume past the first site.</t>
      </text>
    </comment>
    <comment ref="F16" authorId="0" shapeId="0">
      <text>
        <t>The model of record's rule for the fleet deployed by the end of 2025: 1,800 megawatts, retiring 5% a year from 2031 as its terms end (`service_base_mw`, `service_base_decline`, `service_base_decline_from`).</t>
      </text>
    </comment>
    <comment ref="G16" authorId="0" shapeId="0">
      <text>
        <t>The model of record's rule for the fleet deployed by the end of 2025: 1,800 megawatts, retiring 5% a year from 2031 as its terms end (`service_base_mw`, `service_base_decline`, `service_base_decline_from`).</t>
      </text>
    </comment>
    <comment ref="H16" authorId="0" shapeId="0">
      <text>
        <t>The model of record's rule for the fleet deployed by the end of 2025: 1,800 megawatts, retiring 5% a year from 2031 as its terms end (`service_base_mw`, `service_base_decline`, `service_base_decline_from`).</t>
      </text>
    </comment>
    <comment ref="I16" authorId="0" shapeId="0">
      <text>
        <t>The model of record's rule for the fleet deployed by the end of 2025: 1,800 megawatts, retiring 5% a year from 2031 as its terms end (`service_base_mw`, `service_base_decline`, `service_base_decline_from`).</t>
      </text>
    </comment>
    <comment ref="J16" authorId="0" shapeId="0">
      <text>
        <t>The model of record's rule for the fleet deployed by the end of 2025: 1,800 megawatts, retiring 5% a year from 2031 as its terms end (`service_base_mw`, `service_base_decline`, `service_base_decline_from`).</t>
      </text>
    </comment>
    <comment ref="K16" authorId="0" shapeId="0">
      <text>
        <t>The model of record's rule for the fleet deployed by the end of 2025: 1,800 megawatts, retiring 5% a year from 2031 as its terms end (`service_base_mw`, `service_base_decline`, `service_base_decline_from`).</t>
      </text>
    </comment>
    <comment ref="L16" authorId="0" shapeId="0">
      <text>
        <t>The model of record's rule for the fleet deployed by the end of 2025: 1,800 megawatts, retiring 5% a year from 2031 as its terms end (`service_base_mw`, `service_base_decline`, `service_base_decline_from`).</t>
      </text>
    </comment>
    <comment ref="M16" authorId="0" shapeId="0">
      <text>
        <t>The model of record's rule for the fleet deployed by the end of 2025: 1,800 megawatts, retiring 5% a year from 2031 as its terms end (`service_base_mw`, `service_base_decline`, `service_base_decline_from`).</t>
      </text>
    </comment>
    <comment ref="N16" authorId="0" shapeId="0">
      <text>
        <t>The model of record's rule for the fleet deployed by the end of 2025: 1,800 megawatts, retiring 5% a year from 2031 as its terms end (`service_base_mw`, `service_base_decline`, `service_base_decline_from`).</t>
      </text>
    </comment>
    <comment ref="F17" authorId="0" shapeId="0">
      <text>
        <t>What the fleet deployed by 2025 earns today: about $145,000 per megawatt-year, the filed service revenue over the filed fleet (`service_rev_per_mw`). Editable by year.</t>
      </text>
    </comment>
    <comment ref="G17" authorId="0" shapeId="0">
      <text>
        <t>What the fleet deployed by 2025 earns today: about $145,000 per megawatt-year, the filed service revenue over the filed fleet (`service_rev_per_mw`). Editable by year.</t>
      </text>
    </comment>
    <comment ref="H17" authorId="0" shapeId="0">
      <text>
        <t>What the fleet deployed by 2025 earns today: about $145,000 per megawatt-year, the filed service revenue over the filed fleet (`service_rev_per_mw`). Editable by year.</t>
      </text>
    </comment>
    <comment ref="I17" authorId="0" shapeId="0">
      <text>
        <t>What the fleet deployed by 2025 earns today: about $145,000 per megawatt-year, the filed service revenue over the filed fleet (`service_rev_per_mw`). Editable by year.</t>
      </text>
    </comment>
    <comment ref="J17" authorId="0" shapeId="0">
      <text>
        <t>What the fleet deployed by 2025 earns today: about $145,000 per megawatt-year, the filed service revenue over the filed fleet (`service_rev_per_mw`). Editable by year.</t>
      </text>
    </comment>
    <comment ref="K17" authorId="0" shapeId="0">
      <text>
        <t>What the fleet deployed by 2025 earns today: about $145,000 per megawatt-year, the filed service revenue over the filed fleet (`service_rev_per_mw`). Editable by year.</t>
      </text>
    </comment>
    <comment ref="L17" authorId="0" shapeId="0">
      <text>
        <t>What the fleet deployed by 2025 earns today: about $145,000 per megawatt-year, the filed service revenue over the filed fleet (`service_rev_per_mw`). Editable by year.</t>
      </text>
    </comment>
    <comment ref="M17" authorId="0" shapeId="0">
      <text>
        <t>What the fleet deployed by 2025 earns today: about $145,000 per megawatt-year, the filed service revenue over the filed fleet (`service_rev_per_mw`). Editable by year.</t>
      </text>
    </comment>
    <comment ref="N17" authorId="0" shapeId="0">
      <text>
        <t>What the fleet deployed by 2025 earns today: about $145,000 per megawatt-year, the filed service revenue over the filed fleet (`service_rev_per_mw`). Editable by year.</t>
      </text>
    </comment>
    <comment ref="F18" authorId="0" shapeId="0">
      <text>
        <t>The model of record's 2027 megawatts under contract (`svc_mw`) less the fleet deployed by 2025: every cohort shipped from 2026 at a 100% attach, earning from the year after shipment, leaving the book after twenty years with half re-bought as product.</t>
      </text>
    </comment>
    <comment ref="G18" authorId="0" shapeId="0">
      <text>
        <t>The model of record's 2028 megawatts under contract (`svc_mw`) less the fleet deployed by 2025: every cohort shipped from 2026 at a 100% attach, earning from the year after shipment, leaving the book after twenty years with half re-bought as product.</t>
      </text>
    </comment>
    <comment ref="H18" authorId="0" shapeId="0">
      <text>
        <t>The model of record's 2029 megawatts under contract (`svc_mw`) less the fleet deployed by 2025: every cohort shipped from 2026 at a 100% attach, earning from the year after shipment, leaving the book after twenty years with half re-bought as product.</t>
      </text>
    </comment>
    <comment ref="I18" authorId="0" shapeId="0">
      <text>
        <t>The model of record's 2030 megawatts under contract (`svc_mw`) less the fleet deployed by 2025: every cohort shipped from 2026 at a 100% attach, earning from the year after shipment, leaving the book after twenty years with half re-bought as product.</t>
      </text>
    </comment>
    <comment ref="J18" authorId="0" shapeId="0">
      <text>
        <t>The model of record's 2031 megawatts under contract (`svc_mw`) less the fleet deployed by 2025: every cohort shipped from 2026 at a 100% attach, earning from the year after shipment, leaving the book after twenty years with half re-bought as product.</t>
      </text>
    </comment>
    <comment ref="K18" authorId="0" shapeId="0">
      <text>
        <t>The model of record's 2032 megawatts under contract (`svc_mw`) less the fleet deployed by 2025: every cohort shipped from 2026 at a 100% attach, earning from the year after shipment, leaving the book after twenty years with half re-bought as product.</t>
      </text>
    </comment>
    <comment ref="L18" authorId="0" shapeId="0">
      <text>
        <t>The model of record's 2033 megawatts under contract (`svc_mw`) less the fleet deployed by 2025: every cohort shipped from 2026 at a 100% attach, earning from the year after shipment, leaving the book after twenty years with half re-bought as product.</t>
      </text>
    </comment>
    <comment ref="M18" authorId="0" shapeId="0">
      <text>
        <t>The model of record's 2034 megawatts under contract (`svc_mw`) less the fleet deployed by 2025: every cohort shipped from 2026 at a 100% attach, earning from the year after shipment, leaving the book after twenty years with half re-bought as product.</t>
      </text>
    </comment>
    <comment ref="N18" authorId="0" shapeId="0">
      <text>
        <t>The model of record's 2035 megawatts under contract (`svc_mw`) less the fleet deployed by 2025: every cohort shipped from 2026 at a 100% attach, earning from the year after shipment, leaving the book after twenty years with half re-bought as product.</t>
      </text>
    </comment>
    <comment ref="F19" authorId="0" shapeId="0">
      <text>
        <t>The two filed contracts: about $300,000 per megawatt-year (`service_rev_new_per_mw`) — the note's thesis 3, twice the old fleet's rate. Editable by year; the Scenarios sheet prices it at the old fleet's rate.</t>
      </text>
    </comment>
    <comment ref="G19" authorId="0" shapeId="0">
      <text>
        <t>The two filed contracts: about $300,000 per megawatt-year (`service_rev_new_per_mw`) — the note's thesis 3, twice the old fleet's rate. Editable by year; the Scenarios sheet prices it at the old fleet's rate.</t>
      </text>
    </comment>
    <comment ref="H19" authorId="0" shapeId="0">
      <text>
        <t>The two filed contracts: about $300,000 per megawatt-year (`service_rev_new_per_mw`) — the note's thesis 3, twice the old fleet's rate. Editable by year; the Scenarios sheet prices it at the old fleet's rate.</t>
      </text>
    </comment>
    <comment ref="I19" authorId="0" shapeId="0">
      <text>
        <t>The two filed contracts: about $300,000 per megawatt-year (`service_rev_new_per_mw`) — the note's thesis 3, twice the old fleet's rate. Editable by year; the Scenarios sheet prices it at the old fleet's rate.</t>
      </text>
    </comment>
    <comment ref="J19" authorId="0" shapeId="0">
      <text>
        <t>The two filed contracts: about $300,000 per megawatt-year (`service_rev_new_per_mw`) — the note's thesis 3, twice the old fleet's rate. Editable by year; the Scenarios sheet prices it at the old fleet's rate.</t>
      </text>
    </comment>
    <comment ref="K19" authorId="0" shapeId="0">
      <text>
        <t>The two filed contracts: about $300,000 per megawatt-year (`service_rev_new_per_mw`) — the note's thesis 3, twice the old fleet's rate. Editable by year; the Scenarios sheet prices it at the old fleet's rate.</t>
      </text>
    </comment>
    <comment ref="L19" authorId="0" shapeId="0">
      <text>
        <t>The two filed contracts: about $300,000 per megawatt-year (`service_rev_new_per_mw`) — the note's thesis 3, twice the old fleet's rate. Editable by year; the Scenarios sheet prices it at the old fleet's rate.</t>
      </text>
    </comment>
    <comment ref="M19" authorId="0" shapeId="0">
      <text>
        <t>The two filed contracts: about $300,000 per megawatt-year (`service_rev_new_per_mw`) — the note's thesis 3, twice the old fleet's rate. Editable by year; the Scenarios sheet prices it at the old fleet's rate.</t>
      </text>
    </comment>
    <comment ref="N19" authorId="0" shapeId="0">
      <text>
        <t>The two filed contracts: about $300,000 per megawatt-year (`service_rev_new_per_mw`) — the note's thesis 3, twice the old fleet's rate. Editable by year; the Scenarios sheet prices it at the old fleet's rate.</t>
      </text>
    </comment>
    <comment ref="F22" authorId="0" shapeId="0">
      <text>
        <t>The product gross margin the model of record carries for 2027 (its `product_gm` path). Move it and the cost, the gross profit, the operating profit and the value all move with it.</t>
      </text>
    </comment>
    <comment ref="G22" authorId="0" shapeId="0">
      <text>
        <t>The product gross margin the model of record carries for 2028 (its `product_gm` path). Move it and the cost, the gross profit, the operating profit and the value all move with it.</t>
      </text>
    </comment>
    <comment ref="H22" authorId="0" shapeId="0">
      <text>
        <t>The product gross margin the model of record carries for 2029 (its `product_gm` path). Move it and the cost, the gross profit, the operating profit and the value all move with it.</t>
      </text>
    </comment>
    <comment ref="I22" authorId="0" shapeId="0">
      <text>
        <t>The product gross margin the model of record carries for 2030 (its `product_gm` path). Move it and the cost, the gross profit, the operating profit and the value all move with it.</t>
      </text>
    </comment>
    <comment ref="J22" authorId="0" shapeId="0">
      <text>
        <t>The product gross margin the model of record carries for 2031 (its `product_gm` path). Move it and the cost, the gross profit, the operating profit and the value all move with it.</t>
      </text>
    </comment>
    <comment ref="K22" authorId="0" shapeId="0">
      <text>
        <t>The product gross margin the model of record carries for 2032 (its `product_gm` path). Move it and the cost, the gross profit, the operating profit and the value all move with it.</t>
      </text>
    </comment>
    <comment ref="L22" authorId="0" shapeId="0">
      <text>
        <t>The product gross margin the model of record carries for 2033 (its `product_gm` path). Move it and the cost, the gross profit, the operating profit and the value all move with it.</t>
      </text>
    </comment>
    <comment ref="M22" authorId="0" shapeId="0">
      <text>
        <t>The product gross margin the model of record carries for 2034 (its `product_gm` path). Move it and the cost, the gross profit, the operating profit and the value all move with it.</t>
      </text>
    </comment>
    <comment ref="N22" authorId="0" shapeId="0">
      <text>
        <t>The product gross margin the model of record carries for 2035 (its `product_gm` path). Move it and the cost, the gross profit, the operating profit and the value all move with it.</t>
      </text>
    </comment>
    <comment ref="F23" authorId="0" shapeId="0">
      <text>
        <t>The installation gross margin the model of record carries for 2027 (its `install_gm` path). Move it and the cost, the gross profit, the operating profit and the value all move with it.</t>
      </text>
    </comment>
    <comment ref="G23" authorId="0" shapeId="0">
      <text>
        <t>The installation gross margin the model of record carries for 2028 (its `install_gm` path). Move it and the cost, the gross profit, the operating profit and the value all move with it.</t>
      </text>
    </comment>
    <comment ref="H23" authorId="0" shapeId="0">
      <text>
        <t>The installation gross margin the model of record carries for 2029 (its `install_gm` path). Move it and the cost, the gross profit, the operating profit and the value all move with it.</t>
      </text>
    </comment>
    <comment ref="I23" authorId="0" shapeId="0">
      <text>
        <t>The installation gross margin the model of record carries for 2030 (its `install_gm` path). Move it and the cost, the gross profit, the operating profit and the value all move with it.</t>
      </text>
    </comment>
    <comment ref="J23" authorId="0" shapeId="0">
      <text>
        <t>The installation gross margin the model of record carries for 2031 (its `install_gm` path). Move it and the cost, the gross profit, the operating profit and the value all move with it.</t>
      </text>
    </comment>
    <comment ref="K23" authorId="0" shapeId="0">
      <text>
        <t>The installation gross margin the model of record carries for 2032 (its `install_gm` path). Move it and the cost, the gross profit, the operating profit and the value all move with it.</t>
      </text>
    </comment>
    <comment ref="L23" authorId="0" shapeId="0">
      <text>
        <t>The installation gross margin the model of record carries for 2033 (its `install_gm` path). Move it and the cost, the gross profit, the operating profit and the value all move with it.</t>
      </text>
    </comment>
    <comment ref="M23" authorId="0" shapeId="0">
      <text>
        <t>The installation gross margin the model of record carries for 2034 (its `install_gm` path). Move it and the cost, the gross profit, the operating profit and the value all move with it.</t>
      </text>
    </comment>
    <comment ref="N23" authorId="0" shapeId="0">
      <text>
        <t>The installation gross margin the model of record carries for 2035 (its `install_gm` path). Move it and the cost, the gross profit, the operating profit and the value all move with it.</t>
      </text>
    </comment>
    <comment ref="F24" authorId="0" shapeId="0">
      <text>
        <t>The service gross margin the model of record carries for 2027 (its `service_gm` path). Move it and the cost, the gross profit, the operating profit and the value all move with it.</t>
      </text>
    </comment>
    <comment ref="G24" authorId="0" shapeId="0">
      <text>
        <t>The service gross margin the model of record carries for 2028 (its `service_gm` path). Move it and the cost, the gross profit, the operating profit and the value all move with it.</t>
      </text>
    </comment>
    <comment ref="H24" authorId="0" shapeId="0">
      <text>
        <t>The service gross margin the model of record carries for 2029 (its `service_gm` path). Move it and the cost, the gross profit, the operating profit and the value all move with it.</t>
      </text>
    </comment>
    <comment ref="I24" authorId="0" shapeId="0">
      <text>
        <t>The service gross margin the model of record carries for 2030 (its `service_gm` path). Move it and the cost, the gross profit, the operating profit and the value all move with it.</t>
      </text>
    </comment>
    <comment ref="J24" authorId="0" shapeId="0">
      <text>
        <t>The service gross margin the model of record carries for 2031 (its `service_gm` path). Move it and the cost, the gross profit, the operating profit and the value all move with it.</t>
      </text>
    </comment>
    <comment ref="K24" authorId="0" shapeId="0">
      <text>
        <t>The service gross margin the model of record carries for 2032 (its `service_gm` path). Move it and the cost, the gross profit, the operating profit and the value all move with it.</t>
      </text>
    </comment>
    <comment ref="L24" authorId="0" shapeId="0">
      <text>
        <t>The service gross margin the model of record carries for 2033 (its `service_gm` path). Move it and the cost, the gross profit, the operating profit and the value all move with it.</t>
      </text>
    </comment>
    <comment ref="M24" authorId="0" shapeId="0">
      <text>
        <t>The service gross margin the model of record carries for 2034 (its `service_gm` path). Move it and the cost, the gross profit, the operating profit and the value all move with it.</t>
      </text>
    </comment>
    <comment ref="N24" authorId="0" shapeId="0">
      <text>
        <t>The service gross margin the model of record carries for 2035 (its `service_gm` path). Move it and the cost, the gross profit, the operating profit and the value all move with it.</t>
      </text>
    </comment>
    <comment ref="F25" authorId="0" shapeId="0">
      <text>
        <t>The electricity gross margin the model of record carries for 2027 (its `elec_gm` path). Move it and the cost, the gross profit, the operating profit and the value all move with it.</t>
      </text>
    </comment>
    <comment ref="G25" authorId="0" shapeId="0">
      <text>
        <t>The electricity gross margin the model of record carries for 2028 (its `elec_gm` path). Move it and the cost, the gross profit, the operating profit and the value all move with it.</t>
      </text>
    </comment>
    <comment ref="H25" authorId="0" shapeId="0">
      <text>
        <t>The electricity gross margin the model of record carries for 2029 (its `elec_gm` path). Move it and the cost, the gross profit, the operating profit and the value all move with it.</t>
      </text>
    </comment>
    <comment ref="I25" authorId="0" shapeId="0">
      <text>
        <t>The electricity gross margin the model of record carries for 2030 (its `elec_gm` path). Move it and the cost, the gross profit, the operating profit and the value all move with it.</t>
      </text>
    </comment>
    <comment ref="J25" authorId="0" shapeId="0">
      <text>
        <t>The electricity gross margin the model of record carries for 2031 (its `elec_gm` path). Move it and the cost, the gross profit, the operating profit and the value all move with it.</t>
      </text>
    </comment>
    <comment ref="K25" authorId="0" shapeId="0">
      <text>
        <t>The electricity gross margin the model of record carries for 2032 (its `elec_gm` path). Move it and the cost, the gross profit, the operating profit and the value all move with it.</t>
      </text>
    </comment>
    <comment ref="L25" authorId="0" shapeId="0">
      <text>
        <t>The electricity gross margin the model of record carries for 2033 (its `elec_gm` path). Move it and the cost, the gross profit, the operating profit and the value all move with it.</t>
      </text>
    </comment>
    <comment ref="M25" authorId="0" shapeId="0">
      <text>
        <t>The electricity gross margin the model of record carries for 2034 (its `elec_gm` path). Move it and the cost, the gross profit, the operating profit and the value all move with it.</t>
      </text>
    </comment>
    <comment ref="N25" authorId="0" shapeId="0">
      <text>
        <t>The electricity gross margin the model of record carries for 2035 (its `elec_gm` path). Move it and the cost, the gross profit, the operating profit and the value all move with it.</t>
      </text>
    </comment>
    <comment ref="F43" authorId="0" shapeId="0">
      <text>
        <t>The model of record's operating-expense ratio for 2027 (its `opex_ratio` path): the cost base read against the volume as one company, held at the two bottom-up houses' own ratio at their last modelled years rather than extrapolated past it. The dollar row beneath is this ratio times the year's revenue.</t>
      </text>
    </comment>
    <comment ref="G43" authorId="0" shapeId="0">
      <text>
        <t>The model of record's operating-expense ratio for 2028 (its `opex_ratio` path): the cost base read against the volume as one company, held at the two bottom-up houses' own ratio at their last modelled years rather than extrapolated past it. The dollar row beneath is this ratio times the year's revenue.</t>
      </text>
    </comment>
    <comment ref="H43" authorId="0" shapeId="0">
      <text>
        <t>The model of record's operating-expense ratio for 2029 (its `opex_ratio` path): the cost base read against the volume as one company, held at the two bottom-up houses' own ratio at their last modelled years rather than extrapolated past it. The dollar row beneath is this ratio times the year's revenue.</t>
      </text>
    </comment>
    <comment ref="I43" authorId="0" shapeId="0">
      <text>
        <t>The model of record's operating-expense ratio for 2030 (its `opex_ratio` path): the cost base read against the volume as one company, held at the two bottom-up houses' own ratio at their last modelled years rather than extrapolated past it. The dollar row beneath is this ratio times the year's revenue.</t>
      </text>
    </comment>
    <comment ref="J43" authorId="0" shapeId="0">
      <text>
        <t>The model of record's operating-expense ratio for 2031 (its `opex_ratio` path): the cost base read against the volume as one company, held at the two bottom-up houses' own ratio at their last modelled years rather than extrapolated past it. The dollar row beneath is this ratio times the year's revenue.</t>
      </text>
    </comment>
    <comment ref="K43" authorId="0" shapeId="0">
      <text>
        <t>The model of record's operating-expense ratio for 2032 (its `opex_ratio` path): the cost base read against the volume as one company, held at the two bottom-up houses' own ratio at their last modelled years rather than extrapolated past it. The dollar row beneath is this ratio times the year's revenue.</t>
      </text>
    </comment>
    <comment ref="L43" authorId="0" shapeId="0">
      <text>
        <t>The model of record's operating-expense ratio for 2033 (its `opex_ratio` path): the cost base read against the volume as one company, held at the two bottom-up houses' own ratio at their last modelled years rather than extrapolated past it. The dollar row beneath is this ratio times the year's revenue.</t>
      </text>
    </comment>
    <comment ref="M43" authorId="0" shapeId="0">
      <text>
        <t>The model of record's operating-expense ratio for 2034 (its `opex_ratio` path): the cost base read against the volume as one company, held at the two bottom-up houses' own ratio at their last modelled years rather than extrapolated past it. The dollar row beneath is this ratio times the year's revenue.</t>
      </text>
    </comment>
    <comment ref="N43" authorId="0" shapeId="0">
      <text>
        <t>The model of record's operating-expense ratio for 2035 (its `opex_ratio` path): the cost base read against the volume as one company, held at the two bottom-up houses' own ratio at their last modelled years rather than extrapolated past it. The dollar row beneath is this ratio times the year's revenue.</t>
      </text>
    </comment>
    <comment ref="A44" authorId="0" shapeId="0">
      <text>
        <t>Filed years: total operating expenses less the stock compensation inside them. Stock compensation charged inside cost of revenue stays inside cost of revenue in the filed columns (FY2023A $17.5M, FY2024A $16.6M, FY2025A $24.1M); the forecast charges all stock compensation below gross profit, on the row beneath. The operating-profit identity holds in every column either way.</t>
      </text>
    </comment>
    <comment ref="F45" authorId="0" shapeId="0">
      <text>
        <t>The model of record's 2027 stock-compensation charge (`sbc`): $225M for 2026 growing 8% a year, net of the unrecognized expense on awards already inside the share count, which is charged once — in the count, not twice.</t>
      </text>
    </comment>
    <comment ref="G45" authorId="0" shapeId="0">
      <text>
        <t>The model of record's 2028 stock-compensation charge (`sbc`): $225M for 2026 growing 8% a year, net of the unrecognized expense on awards already inside the share count, which is charged once — in the count, not twice.</t>
      </text>
    </comment>
    <comment ref="H45" authorId="0" shapeId="0">
      <text>
        <t>The model of record's 2029 stock-compensation charge (`sbc`): $225M for 2026 growing 8% a year, net of the unrecognized expense on awards already inside the share count, which is charged once — in the count, not twice.</t>
      </text>
    </comment>
    <comment ref="I45" authorId="0" shapeId="0">
      <text>
        <t>The model of record's 2030 stock-compensation charge (`sbc`): $225M for 2026 growing 8% a year, net of the unrecognized expense on awards already inside the share count, which is charged once — in the count, not twice.</t>
      </text>
    </comment>
    <comment ref="J45" authorId="0" shapeId="0">
      <text>
        <t>The model of record's 2031 stock-compensation charge (`sbc`): $225M for 2026 growing 8% a year, net of the unrecognized expense on awards already inside the share count, which is charged once — in the count, not twice.</t>
      </text>
    </comment>
    <comment ref="K45" authorId="0" shapeId="0">
      <text>
        <t>The model of record's 2032 stock-compensation charge (`sbc`): $225M for 2026 growing 8% a year, net of the unrecognized expense on awards already inside the share count, which is charged once — in the count, not twice.</t>
      </text>
    </comment>
    <comment ref="L45" authorId="0" shapeId="0">
      <text>
        <t>The model of record's 2033 stock-compensation charge (`sbc`): $225M for 2026 growing 8% a year, net of the unrecognized expense on awards already inside the share count, which is charged once — in the count, not twice.</t>
      </text>
    </comment>
    <comment ref="M45" authorId="0" shapeId="0">
      <text>
        <t>The model of record's 2034 stock-compensation charge (`sbc`): $225M for 2026 growing 8% a year, net of the unrecognized expense on awards already inside the share count, which is charged once — in the count, not twice.</t>
      </text>
    </comment>
    <comment ref="N45" authorId="0" shapeId="0">
      <text>
        <t>The model of record's 2035 stock-compensation charge (`sbc`): $225M for 2026 growing 8% a year, net of the unrecognized expense on awards already inside the share count, which is charged once — in the count, not twice.</t>
      </text>
    </comment>
    <comment ref="F46" authorId="0" shapeId="0">
      <text>
        <t>The model of record's 2027 depreciation (`da`): $55M for 2026 growing at 8% of each year's capital spending, about a twelve-year life. The filed years are the cash-flow statement's line — Bloom presents no depreciation line on the face of the income statement.</t>
      </text>
    </comment>
    <comment ref="G46" authorId="0" shapeId="0">
      <text>
        <t>The model of record's 2028 depreciation (`da`): $55M for 2026 growing at 8% of each year's capital spending, about a twelve-year life. The filed years are the cash-flow statement's line — Bloom presents no depreciation line on the face of the income statement.</t>
      </text>
    </comment>
    <comment ref="H46" authorId="0" shapeId="0">
      <text>
        <t>The model of record's 2029 depreciation (`da`): $55M for 2026 growing at 8% of each year's capital spending, about a twelve-year life. The filed years are the cash-flow statement's line — Bloom presents no depreciation line on the face of the income statement.</t>
      </text>
    </comment>
    <comment ref="I46" authorId="0" shapeId="0">
      <text>
        <t>The model of record's 2030 depreciation (`da`): $55M for 2026 growing at 8% of each year's capital spending, about a twelve-year life. The filed years are the cash-flow statement's line — Bloom presents no depreciation line on the face of the income statement.</t>
      </text>
    </comment>
    <comment ref="J46" authorId="0" shapeId="0">
      <text>
        <t>The model of record's 2031 depreciation (`da`): $55M for 2026 growing at 8% of each year's capital spending, about a twelve-year life. The filed years are the cash-flow statement's line — Bloom presents no depreciation line on the face of the income statement.</t>
      </text>
    </comment>
    <comment ref="K46" authorId="0" shapeId="0">
      <text>
        <t>The model of record's 2032 depreciation (`da`): $55M for 2026 growing at 8% of each year's capital spending, about a twelve-year life. The filed years are the cash-flow statement's line — Bloom presents no depreciation line on the face of the income statement.</t>
      </text>
    </comment>
    <comment ref="L46" authorId="0" shapeId="0">
      <text>
        <t>The model of record's 2033 depreciation (`da`): $55M for 2026 growing at 8% of each year's capital spending, about a twelve-year life. The filed years are the cash-flow statement's line — Bloom presents no depreciation line on the face of the income statement.</t>
      </text>
    </comment>
    <comment ref="M46" authorId="0" shapeId="0">
      <text>
        <t>The model of record's 2034 depreciation (`da`): $55M for 2026 growing at 8% of each year's capital spending, about a twelve-year life. The filed years are the cash-flow statement's line — Bloom presents no depreciation line on the face of the income statement.</t>
      </text>
    </comment>
    <comment ref="N46" authorId="0" shapeId="0">
      <text>
        <t>The model of record's 2035 depreciation (`da`): $55M for 2026 growing at 8% of each year's capital spending, about a twelve-year life. The filed years are the cash-flow statement's line — Bloom presents no depreciation line on the face of the income statement.</t>
      </text>
    </comment>
    <comment ref="A50" authorId="0" shapeId="0">
      <text>
        <t>Filed years carry income tax expense as filed; cash income taxes paid were within $1M of it in each of FY2023-FY2025 ($1.5M, $1.4M, $1.7M), and the 10-Q does not disclose the cash figure for the 2026 halves.</t>
      </text>
    </comment>
    <comment ref="F50" authorId="0" shapeId="0">
      <text>
        <t>The model of record's 2027 cash tax: 21% federal and 4% state on operating profit with the company's own capital expensed, the federal and California carryforwards used at the 80% limit and the research credits applied. Read from its `tax` row.</t>
      </text>
    </comment>
    <comment ref="G50" authorId="0" shapeId="0">
      <text>
        <t>The model of record's 2028 cash tax: 21% federal and 4% state on operating profit with the company's own capital expensed, the federal and California carryforwards used at the 80% limit and the research credits applied. Read from its `tax` row.</t>
      </text>
    </comment>
    <comment ref="H50" authorId="0" shapeId="0">
      <text>
        <t>The model of record's 2029 cash tax: 21% federal and 4% state on operating profit with the company's own capital expensed, the federal and California carryforwards used at the 80% limit and the research credits applied. Read from its `tax` row.</t>
      </text>
    </comment>
    <comment ref="I50" authorId="0" shapeId="0">
      <text>
        <t>The model of record's 2030 cash tax: 21% federal and 4% state on operating profit with the company's own capital expensed, the federal and California carryforwards used at the 80% limit and the research credits applied. Read from its `tax` row.</t>
      </text>
    </comment>
    <comment ref="J50" authorId="0" shapeId="0">
      <text>
        <t>The model of record's 2031 cash tax: 21% federal and 4% state on operating profit with the company's own capital expensed, the federal and California carryforwards used at the 80% limit and the research credits applied. Read from its `tax` row.</t>
      </text>
    </comment>
    <comment ref="K50" authorId="0" shapeId="0">
      <text>
        <t>The model of record's 2032 cash tax: 21% federal and 4% state on operating profit with the company's own capital expensed, the federal and California carryforwards used at the 80% limit and the research credits applied. Read from its `tax` row.</t>
      </text>
    </comment>
    <comment ref="L50" authorId="0" shapeId="0">
      <text>
        <t>The model of record's 2033 cash tax: 21% federal and 4% state on operating profit with the company's own capital expensed, the federal and California carryforwards used at the 80% limit and the research credits applied. Read from its `tax` row.</t>
      </text>
    </comment>
    <comment ref="M50" authorId="0" shapeId="0">
      <text>
        <t>The model of record's 2034 cash tax: 21% federal and 4% state on operating profit with the company's own capital expensed, the federal and California carryforwards used at the 80% limit and the research credits applied. Read from its `tax` row.</t>
      </text>
    </comment>
    <comment ref="N50" authorId="0" shapeId="0">
      <text>
        <t>The model of record's 2035 cash tax: 21% federal and 4% state on operating profit with the company's own capital expensed, the federal and California carryforwards used at the 80% limit and the research credits applied. Read from its `tax` row.</t>
      </text>
    </comment>
    <comment ref="A52" authorId="0" shapeId="0">
      <text>
        <t>A DERIVED line, not a reported one: operating profit less cash tax, with NO interest income on the cash balance and no other non-operating item. Bloom held $2.69bn of cash at 2026-06-30 and earned $41.5M of interest income in the first half alone, so this is a LOWER BOUND against the vendors' convention, which carries interest income and excludes stock compensation. The filed years' own bottom line is the memo row above it.</t>
      </text>
    </comment>
    <comment ref="A53" authorId="0" shapeId="0">
      <text>
        <t>Filed years: the weighted-average diluted count as reported. Forecast years: the count the valuation uses, held FLAT — the outstanding shares, the unvested and above-target awards, the net option shares and both convertibles. No issuance is forecast; the count's parts are on the Summary sheet.</t>
      </text>
    </comment>
    <comment ref="F58" authorId="0" shapeId="0">
      <text>
        <t>The model of record's 2027 capital spending (`capex`): the filed maintenance and tooling programme scaled with the base, plus what the second footprint's expansion costs, charged the year before it ships.</t>
      </text>
    </comment>
    <comment ref="G58" authorId="0" shapeId="0">
      <text>
        <t>The model of record's 2028 capital spending (`capex`): the filed maintenance and tooling programme scaled with the base, plus what the second footprint's expansion costs, charged the year before it ships.</t>
      </text>
    </comment>
    <comment ref="H58" authorId="0" shapeId="0">
      <text>
        <t>The model of record's 2029 capital spending (`capex`): the filed maintenance and tooling programme scaled with the base, plus what the second footprint's expansion costs, charged the year before it ships.</t>
      </text>
    </comment>
    <comment ref="I58" authorId="0" shapeId="0">
      <text>
        <t>The model of record's 2030 capital spending (`capex`): the filed maintenance and tooling programme scaled with the base, plus what the second footprint's expansion costs, charged the year before it ships.</t>
      </text>
    </comment>
    <comment ref="J58" authorId="0" shapeId="0">
      <text>
        <t>The model of record's 2031 capital spending (`capex`): the filed maintenance and tooling programme scaled with the base, plus what the second footprint's expansion costs, charged the year before it ships.</t>
      </text>
    </comment>
    <comment ref="K58" authorId="0" shapeId="0">
      <text>
        <t>The model of record's 2032 capital spending (`capex`): the filed maintenance and tooling programme scaled with the base, plus what the second footprint's expansion costs, charged the year before it ships.</t>
      </text>
    </comment>
    <comment ref="L58" authorId="0" shapeId="0">
      <text>
        <t>The model of record's 2033 capital spending (`capex`): the filed maintenance and tooling programme scaled with the base, plus what the second footprint's expansion costs, charged the year before it ships.</t>
      </text>
    </comment>
    <comment ref="M58" authorId="0" shapeId="0">
      <text>
        <t>The model of record's 2034 capital spending (`capex`): the filed maintenance and tooling programme scaled with the base, plus what the second footprint's expansion costs, charged the year before it ships.</t>
      </text>
    </comment>
    <comment ref="N58" authorId="0" shapeId="0">
      <text>
        <t>The model of record's 2035 capital spending (`capex`): the filed maintenance and tooling programme scaled with the base, plus what the second footprint's expansion costs, charged the year before it ships.</t>
      </text>
    </comment>
    <comment ref="E59" authorId="0" shapeId="0">
      <text>
        <t>The model of record's working-capital rule (`nwc_ratio`): 18% of each year's revenue change — the rate the filed first half of 2026 built at before the $282M of customer deposits that made the half a source of cash. The deposits are not credited.</t>
      </text>
    </comment>
    <comment ref="F59" authorId="0" shapeId="0">
      <text>
        <t>The model of record's working-capital rule (`nwc_ratio`): 18% of each year's revenue change — the rate the filed first half of 2026 built at before the $282M of customer deposits that made the half a source of cash. The deposits are not credited.</t>
      </text>
    </comment>
    <comment ref="G59" authorId="0" shapeId="0">
      <text>
        <t>The model of record's working-capital rule (`nwc_ratio`): 18% of each year's revenue change — the rate the filed first half of 2026 built at before the $282M of customer deposits that made the half a source of cash. The deposits are not credited.</t>
      </text>
    </comment>
    <comment ref="H59" authorId="0" shapeId="0">
      <text>
        <t>The model of record's working-capital rule (`nwc_ratio`): 18% of each year's revenue change — the rate the filed first half of 2026 built at before the $282M of customer deposits that made the half a source of cash. The deposits are not credited.</t>
      </text>
    </comment>
    <comment ref="I59" authorId="0" shapeId="0">
      <text>
        <t>The model of record's working-capital rule (`nwc_ratio`): 18% of each year's revenue change — the rate the filed first half of 2026 built at before the $282M of customer deposits that made the half a source of cash. The deposits are not credited.</t>
      </text>
    </comment>
    <comment ref="J59" authorId="0" shapeId="0">
      <text>
        <t>The model of record's working-capital rule (`nwc_ratio`): 18% of each year's revenue change — the rate the filed first half of 2026 built at before the $282M of customer deposits that made the half a source of cash. The deposits are not credited.</t>
      </text>
    </comment>
    <comment ref="K59" authorId="0" shapeId="0">
      <text>
        <t>The model of record's working-capital rule (`nwc_ratio`): 18% of each year's revenue change — the rate the filed first half of 2026 built at before the $282M of customer deposits that made the half a source of cash. The deposits are not credited.</t>
      </text>
    </comment>
    <comment ref="L59" authorId="0" shapeId="0">
      <text>
        <t>The model of record's working-capital rule (`nwc_ratio`): 18% of each year's revenue change — the rate the filed first half of 2026 built at before the $282M of customer deposits that made the half a source of cash. The deposits are not credited.</t>
      </text>
    </comment>
    <comment ref="M59" authorId="0" shapeId="0">
      <text>
        <t>The model of record's working-capital rule (`nwc_ratio`): 18% of each year's revenue change — the rate the filed first half of 2026 built at before the $282M of customer deposits that made the half a source of cash. The deposits are not credited.</t>
      </text>
    </comment>
    <comment ref="N59" authorId="0" shapeId="0">
      <text>
        <t>The model of record's working-capital rule (`nwc_ratio`): 18% of each year's revenue change — the rate the filed first half of 2026 built at before the $282M of customer deposits that made the half a source of cash. The deposits are not credited.</t>
      </text>
    </comment>
    <comment ref="A60" authorId="0" shapeId="0">
      <text>
        <t>The model of record steps working capital off the SECOND half of 2026 put at an annual rate, not off the full year built here, because the first half is filed and already in the balance sheet. The FY2026E cell carries that annualized half.</t>
      </text>
    </comment>
    <comment ref="A61" authorId="0" shapeId="0">
      <text>
        <t>Filed years: the operating working-capital lines of the filed cash-flow statement, sign-flipped so a positive figure is cash absorbed — a WIDER scope than the forecast's, since it carries deferred revenue, customer deposits and warranty accruals. Forecast years: the record's 18% rule on the revenue change, before deposits. The two are different measures and the row says so.</t>
      </text>
    </comment>
    <comment ref="A62" authorId="0" shapeId="0">
      <text>
        <t>Operating profit less cash tax, plus depreciation, less capital spending and the working-capital change. ONE definition in every column. For 2026 the valuation discounts the SECOND HALF only — $271.3M, in the H2 2026E column at the foot of this sheet — not the full-year figure here.</t>
      </text>
    </comment>
    <comment ref="A65" authorId="0" shapeId="0">
      <text>
        <t>Read off the face of the statement in the most recent 10-K presenting each year (evidence/financials/income-statement-annual.csv and its SOURCES.md). The Checks tab asserts that this sheet's own build — the four revenue lines summed, revenue less cost, gross profit less operating expense and stock compensation — reproduces each of them, and does the same for the filed half of 2026.</t>
      </text>
    </comment>
    <comment ref="C73" authorId="0" shapeId="0">
      <text>
        <t>Product revenue for the SECOND HALF of 2026 — the model of record's 2026 row (`product`), which is the second half alone. The filed half beside it is the two 10-Qs as reported.</t>
      </text>
    </comment>
    <comment ref="C74" authorId="0" shapeId="0">
      <text>
        <t>Installation revenue for the SECOND HALF of 2026 — the model of record's 2026 row (`install`), which is the second half alone. The filed half beside it is the two 10-Qs as reported.</t>
      </text>
    </comment>
    <comment ref="C75" authorId="0" shapeId="0">
      <text>
        <t>The second half's service line, built from the megawatts and the rates beneath for half a year; the model of record's own figure is $204.882M and the Checks tab asserts the tie.</t>
      </text>
    </comment>
    <comment ref="C76" authorId="0" shapeId="0">
      <text>
        <t>Electricity revenue for the SECOND HALF of 2026 — the model of record's 2026 row (`elec`), which is the second half alone. The filed half beside it is the two 10-Qs as reported.</t>
      </text>
    </comment>
    <comment ref="C77" authorId="0" shapeId="0">
      <text>
        <t>The model of record's 2026 shipments (`ship`), which are the second half's alone.</t>
      </text>
    </comment>
    <comment ref="A83" authorId="0" shapeId="0">
      <text>
        <t>The filed half carries a gross-profit dollar (revenue less cost, off the face of the two 10-Qs); the estimated half carries the margin the model of record applies. FY2026E's cost, gross profit and margin at the top of the sheet are built from the two.</t>
      </text>
    </comment>
    <comment ref="C88" authorId="0" shapeId="0">
      <text>
        <t>The model of record's 2026 ratio — 13% of revenue, the $530M the July guide implies for the year. The filed half's own dollar figure is beside it on the row below and needs no ratio.</t>
      </text>
    </comment>
    <comment ref="A95" authorId="0" shapeId="0">
      <text>
        <t>The second half's working-capital step is the record's rule applied to the move between these two, taken for half a year. The record carries the filed half at $3,632.8M; this row computes $3,632.838M from the filed halves themselves, a difference worth $0.003M of working capital and nothing at all per share.</t>
      </text>
    </comment>
    <comment ref="A97" authorId="0" shapeId="0">
      <text>
        <t>The estimated half's figure is the first flow the valuation discounts. The filed half's is shown on the same definition for comparison only: it is not discounted, because the value date is 2026-08-26 and that half is banked.</t>
      </text>
    </comment>
  </commentList>
</comments>
</file>

<file path=xl/comments/comment3.xml><?xml version="1.0" encoding="utf-8"?>
<comments xmlns="http://schemas.openxmlformats.org/spreadsheetml/2006/main">
  <authors>
    <author>Nico Peng</author>
  </authors>
  <commentList>
    <comment ref="C6" authorId="0" shapeId="0">
      <text>
        <t>2026 is the SECOND HALF only: the value date is 2026-08-26 and the first half is filed and banked. Every later column is the full year off the Financials sheet.</t>
      </text>
    </comment>
    <comment ref="C7" authorId="0" shapeId="0">
      <text>
        <t>10.5% through 2031 — the company's own operating-lease term rate, the top of the collateralized band its own filings disclose, while the window runs and the second footprint is built; 10.0% from 2032, when the queued alternatives have commissioned; 9.5% from 2040 and for the perpetuity, the middle of that band. Move any cell and the value moves.</t>
      </text>
    </comment>
    <comment ref="C8" authorId="0" shapeId="0">
      <text>
        <t>2026-08-26 is day 238 of 2026, so 127 days — 0.3479 of a year — remain. Every later year is whole.</t>
      </text>
    </comment>
    <comment ref="B16" authorId="0" shapeId="0">
      <text>
        <t>Read from the model of record, not typed: the growth its own rules produce over the five years after the window, without re-purchases — the service book filling behind the ramp. 6.18% on this set.</t>
      </text>
    </comment>
    <comment ref="B18" authorId="0" shapeId="0">
      <text>
        <t>In dollars: what the record's own rule charges to stand behind one unit of growth at 2035 — the year's shipments, the Financials sheet's own row, over the throughput ratio at the capital cost per megawatt added; the ratio and the cost are the note's prose.</t>
      </text>
    </comment>
    <comment ref="B20" authorId="0" shapeId="0">
      <text>
        <t>2035's after-tax operating profit less the capital and the working capital the transition's first year of growth requires. Depreciation and capital spending are equal in a steady state, so neither is added back.</t>
      </text>
    </comment>
    <comment ref="B30" authorId="0" shapeId="0">
      <text>
        <t>Read from the model of record, not re-derived here: its own rules run to 2045 without re-purchases — after-tax operating profit less the capital and the working capital the perpetuity's growth requires. The transition's faded last flow is about a tenth lower, and the record prices that reading at about $344 a share; the Scenarios sheet's footer carries it.</t>
      </text>
    </comment>
    <comment ref="B32" authorId="0" shapeId="0">
      <text>
        <t>The flows inside the perpetuity arrive mid-year like the explicit years', so the perpetuity's value at year-end carries the half-year factor. The convention is named here rather than left implicit: without it the value is lower by about 5%.</t>
      </text>
    </comment>
    <comment ref="B46" authorId="0" shapeId="0">
      <text>
        <t>The treasury-method option count depends on the value and the value on the count. The identity solves in closed form — value = (equity + options x strike) divided by (the fixed count + options + both convertibles' shares) — so this workbook contains no circular reference. It holds while the value clears both conversion prices; the two tests are on Summary and the Checks tab asserts them.</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sheetPr>
  <dimension ref="A1:C39"/>
  <sheetViews>
    <sheetView workbookViewId="0">
      <pane ySplit="2" topLeftCell="A3" activePane="bottomLeft" state="frozen"/>
      <selection pane="bottomLeft" activeCell="A1" sqref="A1"/>
    </sheetView>
  </sheetViews>
  <sheetFormatPr baseColWidth="8" defaultRowHeight="15" outlineLevelCol="0"/>
  <cols>
    <col width="52" customWidth="1" min="1" max="1"/>
    <col width="16" customWidth="1" min="2" max="2"/>
    <col width="36" customWidth="1" min="3" max="3"/>
  </cols>
  <sheetData>
    <row r="1" ht="22" customHeight="1">
      <c r="A1" s="1" t="inlineStr">
        <is>
          <t>Bloom Energy Corporation (NYSE: BE)  |  Summary  |  $ millions except per share</t>
        </is>
      </c>
      <c r="B1" s="2" t="n"/>
      <c r="C1" s="2" t="n"/>
    </row>
    <row r="2"/>
    <row r="3">
      <c r="A3" s="3" t="inlineStr">
        <is>
          <t>THE VALUE AGAINST THE PRICE</t>
        </is>
      </c>
      <c r="B3" s="4" t="n"/>
      <c r="C3" s="4" t="n"/>
    </row>
    <row r="4">
      <c r="A4" s="5" t="inlineStr">
        <is>
          <t>Value per share</t>
        </is>
      </c>
      <c r="B4" s="6">
        <f>Valuation!$B$46</f>
        <v/>
      </c>
    </row>
    <row r="5">
      <c r="A5" t="inlineStr">
        <is>
          <t xml:space="preserve">  the value date — the discount clock starts here</t>
        </is>
      </c>
      <c r="B5" s="7" t="inlineStr">
        <is>
          <t>2026-08-26</t>
        </is>
      </c>
      <c r="C5" s="8" t="inlineStr">
        <is>
          <t>the note's date of record</t>
        </is>
      </c>
    </row>
    <row r="6">
      <c r="A6" s="5" t="inlineStr">
        <is>
          <t>Price</t>
        </is>
      </c>
      <c r="B6" s="9" t="n">
        <v>218.21</v>
      </c>
      <c r="C6" s="8" t="inlineStr">
        <is>
          <t>the 2026-08-26 close</t>
        </is>
      </c>
    </row>
    <row r="7">
      <c r="A7" t="inlineStr">
        <is>
          <t>Value as a multiple of the price</t>
        </is>
      </c>
      <c r="B7" s="10">
        <f>$B$4/$B$6</f>
        <v/>
      </c>
    </row>
    <row r="8">
      <c r="A8" t="inlineStr">
        <is>
          <t>Upside</t>
        </is>
      </c>
      <c r="B8" s="11">
        <f>$B$4/$B$6-1</f>
        <v/>
      </c>
    </row>
    <row r="9"/>
    <row r="10">
      <c r="A10" s="3" t="inlineStr">
        <is>
          <t>ENTERPRISE VALUE AND THE BRIDGE  (the balance sheet at 2026-06-30)</t>
        </is>
      </c>
      <c r="B10" s="4" t="n"/>
      <c r="C10" s="4" t="n"/>
    </row>
    <row r="11">
      <c r="A11" s="5" t="inlineStr">
        <is>
          <t>Enterprise value</t>
        </is>
      </c>
      <c r="B11" s="12">
        <f>Valuation!$B$39</f>
        <v/>
      </c>
    </row>
    <row r="12">
      <c r="A12" t="inlineStr">
        <is>
          <t xml:space="preserve">  plus cash and restricted cash</t>
        </is>
      </c>
      <c r="B12" s="13" t="n">
        <v>2688.5</v>
      </c>
    </row>
    <row r="13">
      <c r="A13" t="inlineStr">
        <is>
          <t xml:space="preserve">  less the electricity fleets' financing obligations</t>
        </is>
      </c>
      <c r="B13" s="13" t="n">
        <v>-206.5</v>
      </c>
    </row>
    <row r="14">
      <c r="A14" t="inlineStr">
        <is>
          <t xml:space="preserve">  less the Korean venture's loan</t>
        </is>
      </c>
      <c r="B14" s="13" t="n">
        <v>-2.6</v>
      </c>
    </row>
    <row r="15">
      <c r="A15" t="inlineStr">
        <is>
          <t xml:space="preserve">  less the Korean venture's minority interest</t>
        </is>
      </c>
      <c r="B15" s="13" t="n">
        <v>-28.7</v>
      </c>
    </row>
    <row r="16">
      <c r="A16" t="inlineStr">
        <is>
          <t xml:space="preserve">  less customer deposits and deferred revenue already received</t>
        </is>
      </c>
      <c r="B16" s="13" t="n">
        <v>-445</v>
      </c>
    </row>
    <row r="17">
      <c r="A17" s="5" t="inlineStr">
        <is>
          <t xml:space="preserve">  the bridge</t>
        </is>
      </c>
      <c r="B17" s="12">
        <f>$B$12+$B$13+$B$14+$B$15+$B$16</f>
        <v/>
      </c>
    </row>
    <row r="18">
      <c r="A18" s="5" t="inlineStr">
        <is>
          <t>EQUITY VALUE</t>
        </is>
      </c>
      <c r="B18" s="14">
        <f>$B$11+$B$17</f>
        <v/>
      </c>
    </row>
    <row r="19"/>
    <row r="20">
      <c r="A20" s="3" t="inlineStr">
        <is>
          <t>THE COUNT  (millions of shares)</t>
        </is>
      </c>
      <c r="B20" s="4" t="n"/>
      <c r="C20" s="4" t="n"/>
    </row>
    <row r="21">
      <c r="A21" t="inlineStr">
        <is>
          <t>Shares outstanding, 10-Q cover 2026-07-22</t>
        </is>
      </c>
      <c r="B21" s="15" t="n">
        <v>294.527</v>
      </c>
    </row>
    <row r="22">
      <c r="A22" t="inlineStr">
        <is>
          <t xml:space="preserve">  plus unvested awards</t>
        </is>
      </c>
      <c r="B22" s="15" t="n">
        <v>10.101</v>
      </c>
    </row>
    <row r="23">
      <c r="A23" t="inlineStr">
        <is>
          <t xml:space="preserve">  plus above-target performance shares</t>
        </is>
      </c>
      <c r="B23" s="15" t="n">
        <v>3</v>
      </c>
    </row>
    <row r="24">
      <c r="A24" s="5" t="inlineStr">
        <is>
          <t xml:space="preserve">  the fixed count</t>
        </is>
      </c>
      <c r="B24" s="16">
        <f>$B$21+$B$22+$B$23</f>
        <v/>
      </c>
    </row>
    <row r="25">
      <c r="A25" t="inlineStr">
        <is>
          <t xml:space="preserve">  plus net option shares at the value (treasury method)</t>
        </is>
      </c>
      <c r="B25" s="17">
        <f>$B$26*(1-$B$27/$B$4)</f>
        <v/>
      </c>
    </row>
    <row r="26">
      <c r="A26" t="inlineStr">
        <is>
          <t xml:space="preserve">      options outstanding</t>
        </is>
      </c>
      <c r="B26" s="15" t="n">
        <v>5.01</v>
      </c>
    </row>
    <row r="27">
      <c r="A27" t="inlineStr">
        <is>
          <t xml:space="preserve">      weighted-average exercise price</t>
        </is>
      </c>
      <c r="B27" s="9" t="n">
        <v>15.54</v>
      </c>
    </row>
    <row r="28">
      <c r="A28" t="inlineStr">
        <is>
          <t xml:space="preserve">  plus the 0% notes due 2030, if converted</t>
        </is>
      </c>
      <c r="B28" s="15" t="n">
        <v>12.8225</v>
      </c>
    </row>
    <row r="29">
      <c r="A29" t="inlineStr">
        <is>
          <t xml:space="preserve">      the test — does the value clear the $194.97 conversion price?</t>
        </is>
      </c>
      <c r="B29">
        <f>IF($B$4&gt;=194.97,"yes — shares, and no debt","no — debt at face, and these shares do not exist")</f>
        <v/>
      </c>
    </row>
    <row r="30">
      <c r="A30" t="inlineStr">
        <is>
          <t xml:space="preserve">  plus the 3% notes due 2029, if converted</t>
        </is>
      </c>
      <c r="B30" s="15" t="n">
        <v>1.294</v>
      </c>
    </row>
    <row r="31">
      <c r="A31" t="inlineStr">
        <is>
          <t xml:space="preserve">      the test — does the value clear the $20.84 conversion price?</t>
        </is>
      </c>
      <c r="B31">
        <f>IF($B$4&gt;=20.84,"yes — shares, and no debt","no — debt at face, and these shares do not exist")</f>
        <v/>
      </c>
    </row>
    <row r="32">
      <c r="A32" s="5" t="inlineStr">
        <is>
          <t>THE COUNT THE VALUATION USES</t>
        </is>
      </c>
      <c r="B32" s="18">
        <f>$B$24+$B$25+$B$28+$B$30</f>
        <v/>
      </c>
    </row>
    <row r="33"/>
    <row r="34">
      <c r="A34" s="3" t="inlineStr">
        <is>
          <t>MARKET CAPITALIZATION AT THE PRICE</t>
        </is>
      </c>
      <c r="B34" s="4" t="n"/>
      <c r="C34" s="4" t="n"/>
    </row>
    <row r="35">
      <c r="A35" t="inlineStr">
        <is>
          <t>on shares outstanding</t>
        </is>
      </c>
      <c r="B35" s="19">
        <f>$B$6*$B$21</f>
        <v/>
      </c>
    </row>
    <row r="36">
      <c r="A36" t="inlineStr">
        <is>
          <t>on the count the valuation uses</t>
        </is>
      </c>
      <c r="B36" s="19">
        <f>$B$6*$B$32</f>
        <v/>
      </c>
    </row>
    <row r="37"/>
    <row r="38">
      <c r="A38" s="8" t="inlineStr">
        <is>
          <t>The record's held-input solve of the price is not published: a price does not decompose into one required belief.</t>
        </is>
      </c>
    </row>
    <row r="39">
      <c r="A39" s="8" t="inlineStr">
        <is>
          <t>The megawatts beneath the product and service lines are rows on the Financials sheet, with the two service rates; the price per unit of power, the throughput ratio and the plant's own limit are stated once each in the note's prose, their chains in the research record.</t>
        </is>
      </c>
    </row>
  </sheetData>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4" topLeftCell="B5" activePane="bottomRight" state="frozen"/>
      <selection pane="topRight"/>
      <selection pane="bottomLeft"/>
      <selection pane="bottomRight" activeCell="A1" sqref="A1"/>
    </sheetView>
  </sheetViews>
  <sheetFormatPr baseColWidth="8" defaultRowHeight="15" outlineLevelCol="0"/>
  <cols>
    <col width="62"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s>
  <sheetData>
    <row r="1" ht="22" customHeight="1">
      <c r="A1" s="1" t="inlineStr">
        <is>
          <t>Bloom Energy  |  Financial summary  |  $ millions except per-share figures and ratios</t>
        </is>
      </c>
      <c r="B1" s="2" t="n"/>
      <c r="C1" s="2" t="n"/>
      <c r="D1" s="2" t="n"/>
      <c r="E1" s="2" t="n"/>
      <c r="F1" s="2" t="n"/>
      <c r="G1" s="2" t="n"/>
      <c r="H1" s="2" t="n"/>
      <c r="I1" s="2" t="n"/>
      <c r="J1" s="2" t="n"/>
      <c r="K1" s="2" t="n"/>
      <c r="L1" s="2" t="n"/>
      <c r="M1" s="2" t="n"/>
      <c r="N1" s="2" t="n"/>
    </row>
    <row r="2"/>
    <row r="3">
      <c r="A3" s="8" t="inlineStr">
        <is>
          <t>FY2023A-FY2025A are read off the filed statements (evidence/financials/, with its SOURCES.md). FY2026E is the filed first half plus the second half's estimate — the two halves are set out at the foot of this sheet. FY2027E-FY2035E are the model of record's own years: the revenue lines are its values, everything beneath them is a live formula, and the margins and ratios are the editable inputs.</t>
        </is>
      </c>
    </row>
    <row r="4">
      <c r="B4" s="20" t="inlineStr">
        <is>
          <t>FY2023A</t>
        </is>
      </c>
      <c r="C4" s="20" t="inlineStr">
        <is>
          <t>FY2024A</t>
        </is>
      </c>
      <c r="D4" s="20" t="inlineStr">
        <is>
          <t>FY2025A</t>
        </is>
      </c>
      <c r="E4" s="20" t="inlineStr">
        <is>
          <t>FY2026E</t>
        </is>
      </c>
      <c r="F4" s="20" t="inlineStr">
        <is>
          <t>FY2027E</t>
        </is>
      </c>
      <c r="G4" s="20" t="inlineStr">
        <is>
          <t>FY2028E</t>
        </is>
      </c>
      <c r="H4" s="20" t="inlineStr">
        <is>
          <t>FY2029E</t>
        </is>
      </c>
      <c r="I4" s="20" t="inlineStr">
        <is>
          <t>FY2030E</t>
        </is>
      </c>
      <c r="J4" s="20" t="inlineStr">
        <is>
          <t>FY2031E</t>
        </is>
      </c>
      <c r="K4" s="20" t="inlineStr">
        <is>
          <t>FY2032E</t>
        </is>
      </c>
      <c r="L4" s="20" t="inlineStr">
        <is>
          <t>FY2033E</t>
        </is>
      </c>
      <c r="M4" s="20" t="inlineStr">
        <is>
          <t>FY2034E</t>
        </is>
      </c>
      <c r="N4" s="20" t="inlineStr">
        <is>
          <t>FY2035E</t>
        </is>
      </c>
    </row>
    <row r="5">
      <c r="A5" s="3" t="inlineStr">
        <is>
          <t>REVENUE, BY THE COMPANY'S OWN LINES</t>
        </is>
      </c>
      <c r="B5" s="4" t="n"/>
      <c r="C5" s="4" t="n"/>
      <c r="D5" s="4" t="n"/>
      <c r="E5" s="4" t="n"/>
      <c r="F5" s="4" t="n"/>
      <c r="G5" s="4" t="n"/>
      <c r="H5" s="4" t="n"/>
      <c r="I5" s="4" t="n"/>
      <c r="J5" s="4" t="n"/>
      <c r="K5" s="4" t="n"/>
      <c r="L5" s="4" t="n"/>
      <c r="M5" s="4" t="n"/>
      <c r="N5" s="4" t="n"/>
    </row>
    <row r="6">
      <c r="A6" t="inlineStr">
        <is>
          <t>Product</t>
        </is>
      </c>
      <c r="B6" s="21" t="n">
        <v>975.245</v>
      </c>
      <c r="C6" s="21" t="n">
        <v>1085.153</v>
      </c>
      <c r="D6" s="21" t="n">
        <v>1531.281</v>
      </c>
      <c r="E6" s="19">
        <f>B73+C73</f>
        <v/>
      </c>
      <c r="F6" s="13" t="n">
        <v>7392</v>
      </c>
      <c r="G6" s="13" t="n">
        <v>11616</v>
      </c>
      <c r="H6" s="13" t="n">
        <v>15840</v>
      </c>
      <c r="I6" s="13" t="n">
        <v>20064</v>
      </c>
      <c r="J6" s="13" t="n">
        <v>24288</v>
      </c>
      <c r="K6" s="13" t="n">
        <v>27840.659005</v>
      </c>
      <c r="L6" s="13" t="n">
        <v>31212.551322</v>
      </c>
      <c r="M6" s="13" t="n">
        <v>33672.858097</v>
      </c>
      <c r="N6" s="13" t="n">
        <v>34680</v>
      </c>
    </row>
    <row r="7">
      <c r="A7" t="inlineStr">
        <is>
          <t>Installation</t>
        </is>
      </c>
      <c r="B7" s="21" t="n">
        <v>92.79600000000001</v>
      </c>
      <c r="C7" s="21" t="n">
        <v>122.318</v>
      </c>
      <c r="D7" s="21" t="n">
        <v>204.068</v>
      </c>
      <c r="E7" s="19">
        <f>B74+C74</f>
        <v/>
      </c>
      <c r="F7" s="13" t="n">
        <v>443.52</v>
      </c>
      <c r="G7" s="13" t="n">
        <v>696.96</v>
      </c>
      <c r="H7" s="13" t="n">
        <v>950.4</v>
      </c>
      <c r="I7" s="13" t="n">
        <v>1203.84</v>
      </c>
      <c r="J7" s="13" t="n">
        <v>1457.28</v>
      </c>
      <c r="K7" s="13" t="n">
        <v>1670.43954</v>
      </c>
      <c r="L7" s="13" t="n">
        <v>1872.753079</v>
      </c>
      <c r="M7" s="13" t="n">
        <v>2020.371486</v>
      </c>
      <c r="N7" s="13" t="n">
        <v>2080.8</v>
      </c>
    </row>
    <row r="8">
      <c r="A8" t="inlineStr">
        <is>
          <t>Service</t>
        </is>
      </c>
      <c r="B8" s="21" t="n">
        <v>183.065</v>
      </c>
      <c r="C8" s="21" t="n">
        <v>213.542</v>
      </c>
      <c r="D8" s="21" t="n">
        <v>228.295</v>
      </c>
      <c r="E8" s="19">
        <f>B75+C75</f>
        <v/>
      </c>
      <c r="F8" s="22">
        <f>(F16*F17+F18*F19)/1000000</f>
        <v/>
      </c>
      <c r="G8" s="22">
        <f>(G16*G17+G18*G19)/1000000</f>
        <v/>
      </c>
      <c r="H8" s="22">
        <f>(H16*H17+H18*H19)/1000000</f>
        <v/>
      </c>
      <c r="I8" s="22">
        <f>(I16*I17+I18*I19)/1000000</f>
        <v/>
      </c>
      <c r="J8" s="22">
        <f>(J16*J17+J18*J19)/1000000</f>
        <v/>
      </c>
      <c r="K8" s="22">
        <f>(K16*K17+K18*K19)/1000000</f>
        <v/>
      </c>
      <c r="L8" s="22">
        <f>(L16*L17+L18*L19)/1000000</f>
        <v/>
      </c>
      <c r="M8" s="22">
        <f>(M16*M17+M18*M19)/1000000</f>
        <v/>
      </c>
      <c r="N8" s="22">
        <f>(N16*N17+N18*N19)/1000000</f>
        <v/>
      </c>
    </row>
    <row r="9">
      <c r="A9" t="inlineStr">
        <is>
          <t>Electricity</t>
        </is>
      </c>
      <c r="B9" s="21" t="n">
        <v>82.364</v>
      </c>
      <c r="C9" s="21" t="n">
        <v>52.843</v>
      </c>
      <c r="D9" s="21" t="n">
        <v>60.35</v>
      </c>
      <c r="E9" s="19">
        <f>B76+C76</f>
        <v/>
      </c>
      <c r="F9" s="13" t="n">
        <v>40</v>
      </c>
      <c r="G9" s="13" t="n">
        <v>40</v>
      </c>
      <c r="H9" s="13" t="n">
        <v>40</v>
      </c>
      <c r="I9" s="13" t="n">
        <v>40</v>
      </c>
      <c r="J9" s="13" t="n">
        <v>40</v>
      </c>
      <c r="K9" s="13" t="n">
        <v>40</v>
      </c>
      <c r="L9" s="13" t="n">
        <v>40</v>
      </c>
      <c r="M9" s="13" t="n">
        <v>40</v>
      </c>
      <c r="N9" s="13" t="n">
        <v>0</v>
      </c>
    </row>
    <row r="10">
      <c r="A10" s="5" t="inlineStr">
        <is>
          <t>TOTAL REVENUE</t>
        </is>
      </c>
      <c r="B10" s="14">
        <f>B6+B7+B8+B9</f>
        <v/>
      </c>
      <c r="C10" s="14">
        <f>C6+C7+C8+C9</f>
        <v/>
      </c>
      <c r="D10" s="14">
        <f>D6+D7+D8+D9</f>
        <v/>
      </c>
      <c r="E10" s="14">
        <f>E6+E7+E8+E9</f>
        <v/>
      </c>
      <c r="F10" s="14">
        <f>F6+F7+F8+F9</f>
        <v/>
      </c>
      <c r="G10" s="14">
        <f>G6+G7+G8+G9</f>
        <v/>
      </c>
      <c r="H10" s="14">
        <f>H6+H7+H8+H9</f>
        <v/>
      </c>
      <c r="I10" s="14">
        <f>I6+I7+I8+I9</f>
        <v/>
      </c>
      <c r="J10" s="14">
        <f>J6+J7+J8+J9</f>
        <v/>
      </c>
      <c r="K10" s="14">
        <f>K6+K7+K8+K9</f>
        <v/>
      </c>
      <c r="L10" s="14">
        <f>L6+L7+L8+L9</f>
        <v/>
      </c>
      <c r="M10" s="14">
        <f>M6+M7+M8+M9</f>
        <v/>
      </c>
      <c r="N10" s="14">
        <f>N6+N7+N8+N9</f>
        <v/>
      </c>
    </row>
    <row r="11">
      <c r="A11" t="inlineStr">
        <is>
          <t xml:space="preserve">  year-on-year growth</t>
        </is>
      </c>
      <c r="C11" s="11">
        <f>C10/B10-1</f>
        <v/>
      </c>
      <c r="D11" s="11">
        <f>D10/C10-1</f>
        <v/>
      </c>
      <c r="E11" s="11">
        <f>E10/D10-1</f>
        <v/>
      </c>
      <c r="F11" s="11">
        <f>F10/E10-1</f>
        <v/>
      </c>
      <c r="G11" s="11">
        <f>G10/F10-1</f>
        <v/>
      </c>
      <c r="H11" s="11">
        <f>H10/G10-1</f>
        <v/>
      </c>
      <c r="I11" s="11">
        <f>I10/H10-1</f>
        <v/>
      </c>
      <c r="J11" s="11">
        <f>J10/I10-1</f>
        <v/>
      </c>
      <c r="K11" s="11">
        <f>K10/J10-1</f>
        <v/>
      </c>
      <c r="L11" s="11">
        <f>L10/K10-1</f>
        <v/>
      </c>
      <c r="M11" s="11">
        <f>M10/L10-1</f>
        <v/>
      </c>
      <c r="N11" s="11">
        <f>N10/M10-1</f>
        <v/>
      </c>
    </row>
    <row r="12"/>
    <row r="13">
      <c r="A13" s="3" t="inlineStr">
        <is>
          <t>THE MEGAWATTS BENEATH TWO OF THE LINES  —  the model of record's own volumes and the service rates; the service line above is built from them</t>
        </is>
      </c>
      <c r="B13" s="4" t="n"/>
      <c r="C13" s="4" t="n"/>
      <c r="D13" s="4" t="n"/>
      <c r="E13" s="4" t="n"/>
      <c r="F13" s="4" t="n"/>
      <c r="G13" s="4" t="n"/>
      <c r="H13" s="4" t="n"/>
      <c r="I13" s="4" t="n"/>
      <c r="J13" s="4" t="n"/>
      <c r="K13" s="4" t="n"/>
      <c r="L13" s="4" t="n"/>
      <c r="M13" s="4" t="n"/>
      <c r="N13" s="4" t="n"/>
    </row>
    <row r="14">
      <c r="A14" s="8" t="inlineStr">
        <is>
          <t>FY2026E is built from the two halves at the foot of this sheet, where the second half's megawatts are. The price per unit of power, the throughput ratio and the plant's own limit are the note's prose and not rows here.</t>
        </is>
      </c>
    </row>
    <row r="15">
      <c r="A15" t="inlineStr">
        <is>
          <t>Shipments  (megawatts)</t>
        </is>
      </c>
      <c r="F15" s="23" t="n">
        <v>2240</v>
      </c>
      <c r="G15" s="23" t="n">
        <v>3520</v>
      </c>
      <c r="H15" s="23" t="n">
        <v>4800</v>
      </c>
      <c r="I15" s="23" t="n">
        <v>6080</v>
      </c>
      <c r="J15" s="23" t="n">
        <v>7360</v>
      </c>
      <c r="K15" s="23" t="n">
        <v>8640</v>
      </c>
      <c r="L15" s="23" t="n">
        <v>9920</v>
      </c>
      <c r="M15" s="23" t="n">
        <v>10960</v>
      </c>
      <c r="N15" s="23" t="n">
        <v>11560</v>
      </c>
    </row>
    <row r="16">
      <c r="A16" t="inlineStr">
        <is>
          <t>Megawatts under service contract  —  the fleet deployed by 2025</t>
        </is>
      </c>
      <c r="F16" s="23" t="n">
        <v>1800</v>
      </c>
      <c r="G16" s="23" t="n">
        <v>1800</v>
      </c>
      <c r="H16" s="23" t="n">
        <v>1800</v>
      </c>
      <c r="I16" s="23" t="n">
        <v>1800</v>
      </c>
      <c r="J16" s="23" t="n">
        <v>1710</v>
      </c>
      <c r="K16" s="23" t="n">
        <v>1624.5</v>
      </c>
      <c r="L16" s="23" t="n">
        <v>1543.275</v>
      </c>
      <c r="M16" s="23" t="n">
        <v>1466.11125</v>
      </c>
      <c r="N16" s="23" t="n">
        <v>1392.805687</v>
      </c>
    </row>
    <row r="17">
      <c r="A17" t="inlineStr">
        <is>
          <t xml:space="preserve">  at its realized rate  ($ per megawatt-year)</t>
        </is>
      </c>
      <c r="F17" s="23" t="n">
        <v>145000</v>
      </c>
      <c r="G17" s="23" t="n">
        <v>145000</v>
      </c>
      <c r="H17" s="23" t="n">
        <v>145000</v>
      </c>
      <c r="I17" s="23" t="n">
        <v>145000</v>
      </c>
      <c r="J17" s="23" t="n">
        <v>145000</v>
      </c>
      <c r="K17" s="23" t="n">
        <v>145000</v>
      </c>
      <c r="L17" s="23" t="n">
        <v>145000</v>
      </c>
      <c r="M17" s="23" t="n">
        <v>145000</v>
      </c>
      <c r="N17" s="23" t="n">
        <v>145000</v>
      </c>
    </row>
    <row r="18">
      <c r="A18" t="inlineStr">
        <is>
          <t>Megawatts under service contract  —  the cohorts shipped from 2026</t>
        </is>
      </c>
      <c r="F18" s="23" t="n">
        <v>1078</v>
      </c>
      <c r="G18" s="23" t="n">
        <v>3318</v>
      </c>
      <c r="H18" s="23" t="n">
        <v>6838</v>
      </c>
      <c r="I18" s="23" t="n">
        <v>11638</v>
      </c>
      <c r="J18" s="23" t="n">
        <v>17718</v>
      </c>
      <c r="K18" s="23" t="n">
        <v>25078</v>
      </c>
      <c r="L18" s="23" t="n">
        <v>33718</v>
      </c>
      <c r="M18" s="23" t="n">
        <v>43638</v>
      </c>
      <c r="N18" s="23" t="n">
        <v>54598</v>
      </c>
    </row>
    <row r="19">
      <c r="A19" t="inlineStr">
        <is>
          <t xml:space="preserve">  at the contracts' rate  ($ per megawatt-year)</t>
        </is>
      </c>
      <c r="F19" s="23" t="n">
        <v>300000</v>
      </c>
      <c r="G19" s="23" t="n">
        <v>300000</v>
      </c>
      <c r="H19" s="23" t="n">
        <v>300000</v>
      </c>
      <c r="I19" s="23" t="n">
        <v>300000</v>
      </c>
      <c r="J19" s="23" t="n">
        <v>300000</v>
      </c>
      <c r="K19" s="23" t="n">
        <v>300000</v>
      </c>
      <c r="L19" s="23" t="n">
        <v>300000</v>
      </c>
      <c r="M19" s="23" t="n">
        <v>300000</v>
      </c>
      <c r="N19" s="23" t="n">
        <v>300000</v>
      </c>
    </row>
    <row r="20"/>
    <row r="21">
      <c r="A21" s="3" t="inlineStr">
        <is>
          <t>GROSS MARGIN BY LINE  —  the forecast years' margins are the editable inputs</t>
        </is>
      </c>
      <c r="B21" s="4" t="n"/>
      <c r="C21" s="4" t="n"/>
      <c r="D21" s="4" t="n"/>
      <c r="E21" s="4" t="n"/>
      <c r="F21" s="4" t="n"/>
      <c r="G21" s="4" t="n"/>
      <c r="H21" s="4" t="n"/>
      <c r="I21" s="4" t="n"/>
      <c r="J21" s="4" t="n"/>
      <c r="K21" s="4" t="n"/>
      <c r="L21" s="4" t="n"/>
      <c r="M21" s="4" t="n"/>
      <c r="N21" s="4" t="n"/>
    </row>
    <row r="22">
      <c r="A22" t="inlineStr">
        <is>
          <t xml:space="preserve">  product gross margin</t>
        </is>
      </c>
      <c r="B22" s="11">
        <f>B35/B6</f>
        <v/>
      </c>
      <c r="C22" s="11">
        <f>C35/C6</f>
        <v/>
      </c>
      <c r="D22" s="11">
        <f>D35/D6</f>
        <v/>
      </c>
      <c r="E22" s="11">
        <f>E35/E6</f>
        <v/>
      </c>
      <c r="F22" s="24" t="n">
        <v>0.38</v>
      </c>
      <c r="G22" s="24" t="n">
        <v>0.4</v>
      </c>
      <c r="H22" s="24" t="n">
        <v>0.42</v>
      </c>
      <c r="I22" s="24" t="n">
        <v>0.44</v>
      </c>
      <c r="J22" s="24" t="n">
        <v>0.44</v>
      </c>
      <c r="K22" s="24" t="n">
        <v>0.44</v>
      </c>
      <c r="L22" s="24" t="n">
        <v>0.44</v>
      </c>
      <c r="M22" s="24" t="n">
        <v>0.44</v>
      </c>
      <c r="N22" s="24" t="n">
        <v>0.44</v>
      </c>
    </row>
    <row r="23">
      <c r="A23" t="inlineStr">
        <is>
          <t xml:space="preserve">  installation gross margin</t>
        </is>
      </c>
      <c r="B23" s="11">
        <f>B36/B7</f>
        <v/>
      </c>
      <c r="C23" s="11">
        <f>C36/C7</f>
        <v/>
      </c>
      <c r="D23" s="11">
        <f>D36/D7</f>
        <v/>
      </c>
      <c r="E23" s="11">
        <f>E36/E7</f>
        <v/>
      </c>
      <c r="F23" s="24" t="n">
        <v>0</v>
      </c>
      <c r="G23" s="24" t="n">
        <v>0</v>
      </c>
      <c r="H23" s="24" t="n">
        <v>0</v>
      </c>
      <c r="I23" s="24" t="n">
        <v>0</v>
      </c>
      <c r="J23" s="24" t="n">
        <v>0</v>
      </c>
      <c r="K23" s="24" t="n">
        <v>0</v>
      </c>
      <c r="L23" s="24" t="n">
        <v>0</v>
      </c>
      <c r="M23" s="24" t="n">
        <v>0</v>
      </c>
      <c r="N23" s="24" t="n">
        <v>0</v>
      </c>
    </row>
    <row r="24">
      <c r="A24" t="inlineStr">
        <is>
          <t xml:space="preserve">  service gross margin</t>
        </is>
      </c>
      <c r="B24" s="11">
        <f>B37/B8</f>
        <v/>
      </c>
      <c r="C24" s="11">
        <f>C37/C8</f>
        <v/>
      </c>
      <c r="D24" s="11">
        <f>D37/D8</f>
        <v/>
      </c>
      <c r="E24" s="11">
        <f>E37/E8</f>
        <v/>
      </c>
      <c r="F24" s="24" t="n">
        <v>0.22</v>
      </c>
      <c r="G24" s="24" t="n">
        <v>0.22</v>
      </c>
      <c r="H24" s="24" t="n">
        <v>0.22</v>
      </c>
      <c r="I24" s="24" t="n">
        <v>0.22</v>
      </c>
      <c r="J24" s="24" t="n">
        <v>0.225</v>
      </c>
      <c r="K24" s="24" t="n">
        <v>0.23</v>
      </c>
      <c r="L24" s="24" t="n">
        <v>0.235</v>
      </c>
      <c r="M24" s="24" t="n">
        <v>0.24</v>
      </c>
      <c r="N24" s="24" t="n">
        <v>0.24</v>
      </c>
    </row>
    <row r="25">
      <c r="A25" t="inlineStr">
        <is>
          <t xml:space="preserve">  electricity gross margin</t>
        </is>
      </c>
      <c r="B25" s="11">
        <f>B38/B9</f>
        <v/>
      </c>
      <c r="C25" s="11">
        <f>C38/C9</f>
        <v/>
      </c>
      <c r="D25" s="11">
        <f>D38/D9</f>
        <v/>
      </c>
      <c r="E25" s="11">
        <f>E38/E9</f>
        <v/>
      </c>
      <c r="F25" s="24" t="n">
        <v>0.3</v>
      </c>
      <c r="G25" s="24" t="n">
        <v>0.3</v>
      </c>
      <c r="H25" s="24" t="n">
        <v>0.3</v>
      </c>
      <c r="I25" s="24" t="n">
        <v>0.3</v>
      </c>
      <c r="J25" s="24" t="n">
        <v>0.3</v>
      </c>
      <c r="K25" s="24" t="n">
        <v>0.3</v>
      </c>
      <c r="L25" s="24" t="n">
        <v>0.3</v>
      </c>
      <c r="M25" s="24" t="n">
        <v>0.3</v>
      </c>
      <c r="N25" s="24" t="n">
        <v>0.3</v>
      </c>
    </row>
    <row r="26"/>
    <row r="27">
      <c r="A27" s="3" t="inlineStr">
        <is>
          <t>COST OF REVENUE, BY LINE</t>
        </is>
      </c>
      <c r="B27" s="4" t="n"/>
      <c r="C27" s="4" t="n"/>
      <c r="D27" s="4" t="n"/>
      <c r="E27" s="4" t="n"/>
      <c r="F27" s="4" t="n"/>
      <c r="G27" s="4" t="n"/>
      <c r="H27" s="4" t="n"/>
      <c r="I27" s="4" t="n"/>
      <c r="J27" s="4" t="n"/>
      <c r="K27" s="4" t="n"/>
      <c r="L27" s="4" t="n"/>
      <c r="M27" s="4" t="n"/>
      <c r="N27" s="4" t="n"/>
    </row>
    <row r="28">
      <c r="A28" t="inlineStr">
        <is>
          <t>Product</t>
        </is>
      </c>
      <c r="B28" s="21" t="n">
        <v>630.105</v>
      </c>
      <c r="C28" s="21" t="n">
        <v>685.847</v>
      </c>
      <c r="D28" s="21" t="n">
        <v>992.841</v>
      </c>
      <c r="E28" s="19">
        <f>E6-(B83+C73*C83)</f>
        <v/>
      </c>
      <c r="F28" s="19">
        <f>F6*(1-F22)</f>
        <v/>
      </c>
      <c r="G28" s="19">
        <f>G6*(1-G22)</f>
        <v/>
      </c>
      <c r="H28" s="19">
        <f>H6*(1-H22)</f>
        <v/>
      </c>
      <c r="I28" s="19">
        <f>I6*(1-I22)</f>
        <v/>
      </c>
      <c r="J28" s="19">
        <f>J6*(1-J22)</f>
        <v/>
      </c>
      <c r="K28" s="19">
        <f>K6*(1-K22)</f>
        <v/>
      </c>
      <c r="L28" s="19">
        <f>L6*(1-L22)</f>
        <v/>
      </c>
      <c r="M28" s="19">
        <f>M6*(1-M22)</f>
        <v/>
      </c>
      <c r="N28" s="19">
        <f>N6*(1-N22)</f>
        <v/>
      </c>
    </row>
    <row r="29">
      <c r="A29" t="inlineStr">
        <is>
          <t>Installation</t>
        </is>
      </c>
      <c r="B29" s="21" t="n">
        <v>105.735</v>
      </c>
      <c r="C29" s="21" t="n">
        <v>129.446</v>
      </c>
      <c r="D29" s="21" t="n">
        <v>205.946</v>
      </c>
      <c r="E29" s="19">
        <f>E7-(B84+C74*C84)</f>
        <v/>
      </c>
      <c r="F29" s="19">
        <f>F7*(1-F23)</f>
        <v/>
      </c>
      <c r="G29" s="19">
        <f>G7*(1-G23)</f>
        <v/>
      </c>
      <c r="H29" s="19">
        <f>H7*(1-H23)</f>
        <v/>
      </c>
      <c r="I29" s="19">
        <f>I7*(1-I23)</f>
        <v/>
      </c>
      <c r="J29" s="19">
        <f>J7*(1-J23)</f>
        <v/>
      </c>
      <c r="K29" s="19">
        <f>K7*(1-K23)</f>
        <v/>
      </c>
      <c r="L29" s="19">
        <f>L7*(1-L23)</f>
        <v/>
      </c>
      <c r="M29" s="19">
        <f>M7*(1-M23)</f>
        <v/>
      </c>
      <c r="N29" s="19">
        <f>N7*(1-N23)</f>
        <v/>
      </c>
    </row>
    <row r="30">
      <c r="A30" t="inlineStr">
        <is>
          <t>Service</t>
        </is>
      </c>
      <c r="B30" s="21" t="n">
        <v>220.927</v>
      </c>
      <c r="C30" s="21" t="n">
        <v>214.961</v>
      </c>
      <c r="D30" s="21" t="n">
        <v>205.389</v>
      </c>
      <c r="E30" s="19">
        <f>E8-(B85+C75*C85)</f>
        <v/>
      </c>
      <c r="F30" s="19">
        <f>F8*(1-F24)</f>
        <v/>
      </c>
      <c r="G30" s="19">
        <f>G8*(1-G24)</f>
        <v/>
      </c>
      <c r="H30" s="19">
        <f>H8*(1-H24)</f>
        <v/>
      </c>
      <c r="I30" s="19">
        <f>I8*(1-I24)</f>
        <v/>
      </c>
      <c r="J30" s="19">
        <f>J8*(1-J24)</f>
        <v/>
      </c>
      <c r="K30" s="19">
        <f>K8*(1-K24)</f>
        <v/>
      </c>
      <c r="L30" s="19">
        <f>L8*(1-L24)</f>
        <v/>
      </c>
      <c r="M30" s="19">
        <f>M8*(1-M24)</f>
        <v/>
      </c>
      <c r="N30" s="19">
        <f>N8*(1-N24)</f>
        <v/>
      </c>
    </row>
    <row r="31">
      <c r="A31" t="inlineStr">
        <is>
          <t>Electricity</t>
        </is>
      </c>
      <c r="B31" s="21" t="n">
        <v>178.909</v>
      </c>
      <c r="C31" s="21" t="n">
        <v>38.954</v>
      </c>
      <c r="D31" s="21" t="n">
        <v>32.418</v>
      </c>
      <c r="E31" s="19">
        <f>E9-(B86+C76*C86)</f>
        <v/>
      </c>
      <c r="F31" s="19">
        <f>F9*(1-F25)</f>
        <v/>
      </c>
      <c r="G31" s="19">
        <f>G9*(1-G25)</f>
        <v/>
      </c>
      <c r="H31" s="19">
        <f>H9*(1-H25)</f>
        <v/>
      </c>
      <c r="I31" s="19">
        <f>I9*(1-I25)</f>
        <v/>
      </c>
      <c r="J31" s="19">
        <f>J9*(1-J25)</f>
        <v/>
      </c>
      <c r="K31" s="19">
        <f>K9*(1-K25)</f>
        <v/>
      </c>
      <c r="L31" s="19">
        <f>L9*(1-L25)</f>
        <v/>
      </c>
      <c r="M31" s="19">
        <f>M9*(1-M25)</f>
        <v/>
      </c>
      <c r="N31" s="19">
        <f>N9*(1-N25)</f>
        <v/>
      </c>
    </row>
    <row r="32">
      <c r="A32" s="5" t="inlineStr">
        <is>
          <t>TOTAL COST OF REVENUE</t>
        </is>
      </c>
      <c r="B32" s="12">
        <f>B28+B29+B30+B31</f>
        <v/>
      </c>
      <c r="C32" s="12">
        <f>C28+C29+C30+C31</f>
        <v/>
      </c>
      <c r="D32" s="12">
        <f>D28+D29+D30+D31</f>
        <v/>
      </c>
      <c r="E32" s="12">
        <f>E28+E29+E30+E31</f>
        <v/>
      </c>
      <c r="F32" s="12">
        <f>F28+F29+F30+F31</f>
        <v/>
      </c>
      <c r="G32" s="12">
        <f>G28+G29+G30+G31</f>
        <v/>
      </c>
      <c r="H32" s="12">
        <f>H28+H29+H30+H31</f>
        <v/>
      </c>
      <c r="I32" s="12">
        <f>I28+I29+I30+I31</f>
        <v/>
      </c>
      <c r="J32" s="12">
        <f>J28+J29+J30+J31</f>
        <v/>
      </c>
      <c r="K32" s="12">
        <f>K28+K29+K30+K31</f>
        <v/>
      </c>
      <c r="L32" s="12">
        <f>L28+L29+L30+L31</f>
        <v/>
      </c>
      <c r="M32" s="12">
        <f>M28+M29+M30+M31</f>
        <v/>
      </c>
      <c r="N32" s="12">
        <f>N28+N29+N30+N31</f>
        <v/>
      </c>
    </row>
    <row r="33"/>
    <row r="34">
      <c r="A34" s="3" t="inlineStr">
        <is>
          <t>GROSS PROFIT, BY LINE</t>
        </is>
      </c>
      <c r="B34" s="4" t="n"/>
      <c r="C34" s="4" t="n"/>
      <c r="D34" s="4" t="n"/>
      <c r="E34" s="4" t="n"/>
      <c r="F34" s="4" t="n"/>
      <c r="G34" s="4" t="n"/>
      <c r="H34" s="4" t="n"/>
      <c r="I34" s="4" t="n"/>
      <c r="J34" s="4" t="n"/>
      <c r="K34" s="4" t="n"/>
      <c r="L34" s="4" t="n"/>
      <c r="M34" s="4" t="n"/>
      <c r="N34" s="4" t="n"/>
    </row>
    <row r="35">
      <c r="A35" t="inlineStr">
        <is>
          <t>Product</t>
        </is>
      </c>
      <c r="B35" s="19">
        <f>B6-B28</f>
        <v/>
      </c>
      <c r="C35" s="19">
        <f>C6-C28</f>
        <v/>
      </c>
      <c r="D35" s="19">
        <f>D6-D28</f>
        <v/>
      </c>
      <c r="E35" s="19">
        <f>E6-E28</f>
        <v/>
      </c>
      <c r="F35" s="19">
        <f>F6-F28</f>
        <v/>
      </c>
      <c r="G35" s="19">
        <f>G6-G28</f>
        <v/>
      </c>
      <c r="H35" s="19">
        <f>H6-H28</f>
        <v/>
      </c>
      <c r="I35" s="19">
        <f>I6-I28</f>
        <v/>
      </c>
      <c r="J35" s="19">
        <f>J6-J28</f>
        <v/>
      </c>
      <c r="K35" s="19">
        <f>K6-K28</f>
        <v/>
      </c>
      <c r="L35" s="19">
        <f>L6-L28</f>
        <v/>
      </c>
      <c r="M35" s="19">
        <f>M6-M28</f>
        <v/>
      </c>
      <c r="N35" s="19">
        <f>N6-N28</f>
        <v/>
      </c>
    </row>
    <row r="36">
      <c r="A36" t="inlineStr">
        <is>
          <t>Installation</t>
        </is>
      </c>
      <c r="B36" s="19">
        <f>B7-B29</f>
        <v/>
      </c>
      <c r="C36" s="19">
        <f>C7-C29</f>
        <v/>
      </c>
      <c r="D36" s="19">
        <f>D7-D29</f>
        <v/>
      </c>
      <c r="E36" s="19">
        <f>E7-E29</f>
        <v/>
      </c>
      <c r="F36" s="19">
        <f>F7-F29</f>
        <v/>
      </c>
      <c r="G36" s="19">
        <f>G7-G29</f>
        <v/>
      </c>
      <c r="H36" s="19">
        <f>H7-H29</f>
        <v/>
      </c>
      <c r="I36" s="19">
        <f>I7-I29</f>
        <v/>
      </c>
      <c r="J36" s="19">
        <f>J7-J29</f>
        <v/>
      </c>
      <c r="K36" s="19">
        <f>K7-K29</f>
        <v/>
      </c>
      <c r="L36" s="19">
        <f>L7-L29</f>
        <v/>
      </c>
      <c r="M36" s="19">
        <f>M7-M29</f>
        <v/>
      </c>
      <c r="N36" s="19">
        <f>N7-N29</f>
        <v/>
      </c>
    </row>
    <row r="37">
      <c r="A37" t="inlineStr">
        <is>
          <t>Service</t>
        </is>
      </c>
      <c r="B37" s="19">
        <f>B8-B30</f>
        <v/>
      </c>
      <c r="C37" s="19">
        <f>C8-C30</f>
        <v/>
      </c>
      <c r="D37" s="19">
        <f>D8-D30</f>
        <v/>
      </c>
      <c r="E37" s="19">
        <f>E8-E30</f>
        <v/>
      </c>
      <c r="F37" s="19">
        <f>F8-F30</f>
        <v/>
      </c>
      <c r="G37" s="19">
        <f>G8-G30</f>
        <v/>
      </c>
      <c r="H37" s="19">
        <f>H8-H30</f>
        <v/>
      </c>
      <c r="I37" s="19">
        <f>I8-I30</f>
        <v/>
      </c>
      <c r="J37" s="19">
        <f>J8-J30</f>
        <v/>
      </c>
      <c r="K37" s="19">
        <f>K8-K30</f>
        <v/>
      </c>
      <c r="L37" s="19">
        <f>L8-L30</f>
        <v/>
      </c>
      <c r="M37" s="19">
        <f>M8-M30</f>
        <v/>
      </c>
      <c r="N37" s="19">
        <f>N8-N30</f>
        <v/>
      </c>
    </row>
    <row r="38">
      <c r="A38" t="inlineStr">
        <is>
          <t>Electricity</t>
        </is>
      </c>
      <c r="B38" s="19">
        <f>B9-B31</f>
        <v/>
      </c>
      <c r="C38" s="19">
        <f>C9-C31</f>
        <v/>
      </c>
      <c r="D38" s="19">
        <f>D9-D31</f>
        <v/>
      </c>
      <c r="E38" s="19">
        <f>E9-E31</f>
        <v/>
      </c>
      <c r="F38" s="19">
        <f>F9-F31</f>
        <v/>
      </c>
      <c r="G38" s="19">
        <f>G9-G31</f>
        <v/>
      </c>
      <c r="H38" s="19">
        <f>H9-H31</f>
        <v/>
      </c>
      <c r="I38" s="19">
        <f>I9-I31</f>
        <v/>
      </c>
      <c r="J38" s="19">
        <f>J9-J31</f>
        <v/>
      </c>
      <c r="K38" s="19">
        <f>K9-K31</f>
        <v/>
      </c>
      <c r="L38" s="19">
        <f>L9-L31</f>
        <v/>
      </c>
      <c r="M38" s="19">
        <f>M9-M31</f>
        <v/>
      </c>
      <c r="N38" s="19">
        <f>N9-N31</f>
        <v/>
      </c>
    </row>
    <row r="39">
      <c r="A39" s="5" t="inlineStr">
        <is>
          <t>TOTAL GROSS PROFIT</t>
        </is>
      </c>
      <c r="B39" s="14">
        <f>B10-B32</f>
        <v/>
      </c>
      <c r="C39" s="14">
        <f>C10-C32</f>
        <v/>
      </c>
      <c r="D39" s="14">
        <f>D10-D32</f>
        <v/>
      </c>
      <c r="E39" s="14">
        <f>E10-E32</f>
        <v/>
      </c>
      <c r="F39" s="14">
        <f>F10-F32</f>
        <v/>
      </c>
      <c r="G39" s="14">
        <f>G10-G32</f>
        <v/>
      </c>
      <c r="H39" s="14">
        <f>H10-H32</f>
        <v/>
      </c>
      <c r="I39" s="14">
        <f>I10-I32</f>
        <v/>
      </c>
      <c r="J39" s="14">
        <f>J10-J32</f>
        <v/>
      </c>
      <c r="K39" s="14">
        <f>K10-K32</f>
        <v/>
      </c>
      <c r="L39" s="14">
        <f>L10-L32</f>
        <v/>
      </c>
      <c r="M39" s="14">
        <f>M10-M32</f>
        <v/>
      </c>
      <c r="N39" s="14">
        <f>N10-N32</f>
        <v/>
      </c>
    </row>
    <row r="40">
      <c r="A40" s="5" t="inlineStr">
        <is>
          <t xml:space="preserve">  total gross margin</t>
        </is>
      </c>
      <c r="B40" s="25">
        <f>B39/B10</f>
        <v/>
      </c>
      <c r="C40" s="25">
        <f>C39/C10</f>
        <v/>
      </c>
      <c r="D40" s="25">
        <f>D39/D10</f>
        <v/>
      </c>
      <c r="E40" s="25">
        <f>E39/E10</f>
        <v/>
      </c>
      <c r="F40" s="25">
        <f>F39/F10</f>
        <v/>
      </c>
      <c r="G40" s="25">
        <f>G39/G10</f>
        <v/>
      </c>
      <c r="H40" s="25">
        <f>H39/H10</f>
        <v/>
      </c>
      <c r="I40" s="25">
        <f>I39/I10</f>
        <v/>
      </c>
      <c r="J40" s="25">
        <f>J39/J10</f>
        <v/>
      </c>
      <c r="K40" s="25">
        <f>K39/K10</f>
        <v/>
      </c>
      <c r="L40" s="25">
        <f>L39/L10</f>
        <v/>
      </c>
      <c r="M40" s="25">
        <f>M39/M10</f>
        <v/>
      </c>
      <c r="N40" s="25">
        <f>N39/N10</f>
        <v/>
      </c>
    </row>
    <row r="41"/>
    <row r="42">
      <c r="A42" s="3" t="inlineStr">
        <is>
          <t>OPERATING</t>
        </is>
      </c>
      <c r="B42" s="4" t="n"/>
      <c r="C42" s="4" t="n"/>
      <c r="D42" s="4" t="n"/>
      <c r="E42" s="4" t="n"/>
      <c r="F42" s="4" t="n"/>
      <c r="G42" s="4" t="n"/>
      <c r="H42" s="4" t="n"/>
      <c r="I42" s="4" t="n"/>
      <c r="J42" s="4" t="n"/>
      <c r="K42" s="4" t="n"/>
      <c r="L42" s="4" t="n"/>
      <c r="M42" s="4" t="n"/>
      <c r="N42" s="4" t="n"/>
    </row>
    <row r="43">
      <c r="A43" t="inlineStr">
        <is>
          <t xml:space="preserve">  operating expense excluding stock compensation, % of revenue</t>
        </is>
      </c>
      <c r="E43" s="11">
        <f>E44/E10</f>
        <v/>
      </c>
      <c r="F43" s="24" t="n">
        <v>0.1</v>
      </c>
      <c r="G43" s="24" t="n">
        <v>0.08500000000000001</v>
      </c>
      <c r="H43" s="24" t="n">
        <v>0.08</v>
      </c>
      <c r="I43" s="24" t="n">
        <v>0.07000000000000001</v>
      </c>
      <c r="J43" s="24" t="n">
        <v>0.065</v>
      </c>
      <c r="K43" s="24" t="n">
        <v>0.06</v>
      </c>
      <c r="L43" s="24" t="n">
        <v>0.06</v>
      </c>
      <c r="M43" s="24" t="n">
        <v>0.06</v>
      </c>
      <c r="N43" s="24" t="n">
        <v>0.06</v>
      </c>
    </row>
    <row r="44">
      <c r="A44" t="inlineStr">
        <is>
          <t>Operating expenses, excluding stock compensation</t>
        </is>
      </c>
      <c r="B44" s="21" t="n">
        <v>337.11</v>
      </c>
      <c r="C44" s="21" t="n">
        <v>315.323</v>
      </c>
      <c r="D44" s="21" t="n">
        <v>393.6859999999999</v>
      </c>
      <c r="E44" s="19">
        <f>B89+C89</f>
        <v/>
      </c>
      <c r="F44" s="19">
        <f>F43*F10</f>
        <v/>
      </c>
      <c r="G44" s="19">
        <f>G43*G10</f>
        <v/>
      </c>
      <c r="H44" s="19">
        <f>H43*H10</f>
        <v/>
      </c>
      <c r="I44" s="19">
        <f>I43*I10</f>
        <v/>
      </c>
      <c r="J44" s="19">
        <f>J43*J10</f>
        <v/>
      </c>
      <c r="K44" s="19">
        <f>K43*K10</f>
        <v/>
      </c>
      <c r="L44" s="19">
        <f>L43*L10</f>
        <v/>
      </c>
      <c r="M44" s="19">
        <f>M43*M10</f>
        <v/>
      </c>
      <c r="N44" s="19">
        <f>N43*N10</f>
        <v/>
      </c>
    </row>
    <row r="45">
      <c r="A45" t="inlineStr">
        <is>
          <t>Stock compensation</t>
        </is>
      </c>
      <c r="B45" s="21" t="n">
        <v>69.59099999999999</v>
      </c>
      <c r="C45" s="21" t="n">
        <v>66.416</v>
      </c>
      <c r="D45" s="21" t="n">
        <v>120.912</v>
      </c>
      <c r="E45" s="19">
        <f>B90+C90</f>
        <v/>
      </c>
      <c r="F45" s="13" t="n">
        <v>23</v>
      </c>
      <c r="G45" s="13" t="n">
        <v>191.44</v>
      </c>
      <c r="H45" s="13" t="n">
        <v>283.4352</v>
      </c>
      <c r="I45" s="13" t="n">
        <v>306.110016</v>
      </c>
      <c r="J45" s="13" t="n">
        <v>330.598817</v>
      </c>
      <c r="K45" s="13" t="n">
        <v>357.046723</v>
      </c>
      <c r="L45" s="13" t="n">
        <v>385.61046</v>
      </c>
      <c r="M45" s="13" t="n">
        <v>416.459297</v>
      </c>
      <c r="N45" s="13" t="n">
        <v>449.776041</v>
      </c>
    </row>
    <row r="46">
      <c r="A46" t="inlineStr">
        <is>
          <t>Depreciation and amortization</t>
        </is>
      </c>
      <c r="B46" s="21" t="n">
        <v>62.609</v>
      </c>
      <c r="C46" s="21" t="n">
        <v>53.048</v>
      </c>
      <c r="D46" s="21" t="n">
        <v>50.566</v>
      </c>
      <c r="E46" s="19">
        <f>B92+C92</f>
        <v/>
      </c>
      <c r="F46" s="13" t="n">
        <v>64.59999999999999</v>
      </c>
      <c r="G46" s="13" t="n">
        <v>80.59999999999999</v>
      </c>
      <c r="H46" s="13" t="n">
        <v>116.6</v>
      </c>
      <c r="I46" s="13" t="n">
        <v>162.2</v>
      </c>
      <c r="J46" s="13" t="n">
        <v>207.8</v>
      </c>
      <c r="K46" s="13" t="n">
        <v>261.4</v>
      </c>
      <c r="L46" s="13" t="n">
        <v>319</v>
      </c>
      <c r="M46" s="13" t="n">
        <v>375.8</v>
      </c>
      <c r="N46" s="13" t="n">
        <v>423.8</v>
      </c>
    </row>
    <row r="47">
      <c r="A47" s="5" t="inlineStr">
        <is>
          <t>OPERATING PROFIT (EBIT), after stock compensation</t>
        </is>
      </c>
      <c r="B47" s="14">
        <f>B39-B44-B45</f>
        <v/>
      </c>
      <c r="C47" s="14">
        <f>C39-C44-C45</f>
        <v/>
      </c>
      <c r="D47" s="14">
        <f>D39-D44-D45</f>
        <v/>
      </c>
      <c r="E47" s="14">
        <f>E39-E44-E45</f>
        <v/>
      </c>
      <c r="F47" s="14">
        <f>F39-F44-F45</f>
        <v/>
      </c>
      <c r="G47" s="14">
        <f>G39-G44-G45</f>
        <v/>
      </c>
      <c r="H47" s="14">
        <f>H39-H44-H45</f>
        <v/>
      </c>
      <c r="I47" s="14">
        <f>I39-I44-I45</f>
        <v/>
      </c>
      <c r="J47" s="14">
        <f>J39-J44-J45</f>
        <v/>
      </c>
      <c r="K47" s="14">
        <f>K39-K44-K45</f>
        <v/>
      </c>
      <c r="L47" s="14">
        <f>L39-L44-L45</f>
        <v/>
      </c>
      <c r="M47" s="14">
        <f>M39-M44-M45</f>
        <v/>
      </c>
      <c r="N47" s="14">
        <f>N39-N44-N45</f>
        <v/>
      </c>
    </row>
    <row r="48">
      <c r="A48" t="inlineStr">
        <is>
          <t xml:space="preserve">  operating margin</t>
        </is>
      </c>
      <c r="B48" s="11">
        <f>B47/B10</f>
        <v/>
      </c>
      <c r="C48" s="11">
        <f>C47/C10</f>
        <v/>
      </c>
      <c r="D48" s="11">
        <f>D47/D10</f>
        <v/>
      </c>
      <c r="E48" s="11">
        <f>E47/E10</f>
        <v/>
      </c>
      <c r="F48" s="11">
        <f>F47/F10</f>
        <v/>
      </c>
      <c r="G48" s="11">
        <f>G47/G10</f>
        <v/>
      </c>
      <c r="H48" s="11">
        <f>H47/H10</f>
        <v/>
      </c>
      <c r="I48" s="11">
        <f>I47/I10</f>
        <v/>
      </c>
      <c r="J48" s="11">
        <f>J47/J10</f>
        <v/>
      </c>
      <c r="K48" s="11">
        <f>K47/K10</f>
        <v/>
      </c>
      <c r="L48" s="11">
        <f>L47/L10</f>
        <v/>
      </c>
      <c r="M48" s="11">
        <f>M47/M10</f>
        <v/>
      </c>
      <c r="N48" s="11">
        <f>N47/N10</f>
        <v/>
      </c>
    </row>
    <row r="49">
      <c r="A49" s="5" t="inlineStr">
        <is>
          <t>EBITDA  (operating profit plus depreciation)</t>
        </is>
      </c>
      <c r="B49" s="14">
        <f>B47+B46</f>
        <v/>
      </c>
      <c r="C49" s="14">
        <f>C47+C46</f>
        <v/>
      </c>
      <c r="D49" s="14">
        <f>D47+D46</f>
        <v/>
      </c>
      <c r="E49" s="14">
        <f>E47+E46</f>
        <v/>
      </c>
      <c r="F49" s="14">
        <f>F47+F46</f>
        <v/>
      </c>
      <c r="G49" s="14">
        <f>G47+G46</f>
        <v/>
      </c>
      <c r="H49" s="14">
        <f>H47+H46</f>
        <v/>
      </c>
      <c r="I49" s="14">
        <f>I47+I46</f>
        <v/>
      </c>
      <c r="J49" s="14">
        <f>J47+J46</f>
        <v/>
      </c>
      <c r="K49" s="14">
        <f>K47+K46</f>
        <v/>
      </c>
      <c r="L49" s="14">
        <f>L47+L46</f>
        <v/>
      </c>
      <c r="M49" s="14">
        <f>M47+M46</f>
        <v/>
      </c>
      <c r="N49" s="14">
        <f>N47+N46</f>
        <v/>
      </c>
    </row>
    <row r="50">
      <c r="A50" t="inlineStr">
        <is>
          <t>Cash tax</t>
        </is>
      </c>
      <c r="B50" s="21" t="n">
        <v>1.894</v>
      </c>
      <c r="C50" s="21" t="n">
        <v>0.846</v>
      </c>
      <c r="D50" s="21" t="n">
        <v>2.736</v>
      </c>
      <c r="E50" s="19">
        <f>B93+C93</f>
        <v/>
      </c>
      <c r="F50" s="13" t="n">
        <v>60.814271</v>
      </c>
      <c r="G50" s="13" t="n">
        <v>753.3077029999999</v>
      </c>
      <c r="H50" s="13" t="n">
        <v>1226.3172</v>
      </c>
      <c r="I50" s="13" t="n">
        <v>1799.390296</v>
      </c>
      <c r="J50" s="13" t="n">
        <v>2280.003496</v>
      </c>
      <c r="K50" s="13" t="n">
        <v>2748.049813</v>
      </c>
      <c r="L50" s="13" t="n">
        <v>3197.687365</v>
      </c>
      <c r="M50" s="13" t="n">
        <v>3609.530499</v>
      </c>
      <c r="N50" s="13" t="n">
        <v>3890.555047</v>
      </c>
    </row>
    <row r="51">
      <c r="A51" t="inlineStr">
        <is>
          <t xml:space="preserve">  memo: net income to common, as filed</t>
        </is>
      </c>
      <c r="B51" s="21" t="n">
        <v>-302.116</v>
      </c>
      <c r="C51" s="21" t="n">
        <v>-29.227</v>
      </c>
      <c r="D51" s="21" t="n">
        <v>-88.434</v>
      </c>
    </row>
    <row r="52">
      <c r="A52" s="5" t="inlineStr">
        <is>
          <t>NET INCOME  —  operating profit less cash tax</t>
        </is>
      </c>
      <c r="B52" s="12">
        <f>B47-B50</f>
        <v/>
      </c>
      <c r="C52" s="12">
        <f>C47-C50</f>
        <v/>
      </c>
      <c r="D52" s="12">
        <f>D47-D50</f>
        <v/>
      </c>
      <c r="E52" s="12">
        <f>E47-E50</f>
        <v/>
      </c>
      <c r="F52" s="12">
        <f>F47-F50</f>
        <v/>
      </c>
      <c r="G52" s="12">
        <f>G47-G50</f>
        <v/>
      </c>
      <c r="H52" s="12">
        <f>H47-H50</f>
        <v/>
      </c>
      <c r="I52" s="12">
        <f>I47-I50</f>
        <v/>
      </c>
      <c r="J52" s="12">
        <f>J47-J50</f>
        <v/>
      </c>
      <c r="K52" s="12">
        <f>K47-K50</f>
        <v/>
      </c>
      <c r="L52" s="12">
        <f>L47-L50</f>
        <v/>
      </c>
      <c r="M52" s="12">
        <f>M47-M50</f>
        <v/>
      </c>
      <c r="N52" s="12">
        <f>N47-N50</f>
        <v/>
      </c>
    </row>
    <row r="53">
      <c r="A53" t="inlineStr">
        <is>
          <t>Diluted shares</t>
        </is>
      </c>
      <c r="B53" s="26" t="n">
        <v>212.681</v>
      </c>
      <c r="C53" s="26" t="n">
        <v>227.365</v>
      </c>
      <c r="D53" s="26" t="n">
        <v>240.402</v>
      </c>
      <c r="E53" s="17">
        <f>Summary!$B$32</f>
        <v/>
      </c>
      <c r="F53" s="17">
        <f>Summary!$B$32</f>
        <v/>
      </c>
      <c r="G53" s="17">
        <f>Summary!$B$32</f>
        <v/>
      </c>
      <c r="H53" s="17">
        <f>Summary!$B$32</f>
        <v/>
      </c>
      <c r="I53" s="17">
        <f>Summary!$B$32</f>
        <v/>
      </c>
      <c r="J53" s="17">
        <f>Summary!$B$32</f>
        <v/>
      </c>
      <c r="K53" s="17">
        <f>Summary!$B$32</f>
        <v/>
      </c>
      <c r="L53" s="17">
        <f>Summary!$B$32</f>
        <v/>
      </c>
      <c r="M53" s="17">
        <f>Summary!$B$32</f>
        <v/>
      </c>
      <c r="N53" s="17">
        <f>Summary!$B$32</f>
        <v/>
      </c>
    </row>
    <row r="54">
      <c r="A54" s="5" t="inlineStr">
        <is>
          <t>EPS  —  on the derived net income above</t>
        </is>
      </c>
      <c r="B54" s="27">
        <f>B52/B53</f>
        <v/>
      </c>
      <c r="C54" s="27">
        <f>C52/C53</f>
        <v/>
      </c>
      <c r="D54" s="27">
        <f>D52/D53</f>
        <v/>
      </c>
      <c r="E54" s="27">
        <f>E52/E53</f>
        <v/>
      </c>
      <c r="F54" s="27">
        <f>F52/F53</f>
        <v/>
      </c>
      <c r="G54" s="27">
        <f>G52/G53</f>
        <v/>
      </c>
      <c r="H54" s="27">
        <f>H52/H53</f>
        <v/>
      </c>
      <c r="I54" s="27">
        <f>I52/I53</f>
        <v/>
      </c>
      <c r="J54" s="27">
        <f>J52/J53</f>
        <v/>
      </c>
      <c r="K54" s="27">
        <f>K52/K53</f>
        <v/>
      </c>
      <c r="L54" s="27">
        <f>L52/L53</f>
        <v/>
      </c>
      <c r="M54" s="27">
        <f>M52/M53</f>
        <v/>
      </c>
      <c r="N54" s="27">
        <f>N52/N53</f>
        <v/>
      </c>
    </row>
    <row r="55">
      <c r="A55" t="inlineStr">
        <is>
          <t xml:space="preserve">  memo: diluted EPS, as filed</t>
        </is>
      </c>
      <c r="B55" s="28" t="n">
        <v>-1.42</v>
      </c>
      <c r="C55" s="28" t="n">
        <v>-0.13</v>
      </c>
      <c r="D55" s="28" t="n">
        <v>-0.37</v>
      </c>
    </row>
    <row r="56"/>
    <row r="57">
      <c r="A57" s="3" t="inlineStr">
        <is>
          <t>CAPITAL AND CASH</t>
        </is>
      </c>
      <c r="B57" s="4" t="n"/>
      <c r="C57" s="4" t="n"/>
      <c r="D57" s="4" t="n"/>
      <c r="E57" s="4" t="n"/>
      <c r="F57" s="4" t="n"/>
      <c r="G57" s="4" t="n"/>
      <c r="H57" s="4" t="n"/>
      <c r="I57" s="4" t="n"/>
      <c r="J57" s="4" t="n"/>
      <c r="K57" s="4" t="n"/>
      <c r="L57" s="4" t="n"/>
      <c r="M57" s="4" t="n"/>
      <c r="N57" s="4" t="n"/>
    </row>
    <row r="58">
      <c r="A58" t="inlineStr">
        <is>
          <t>Capital expenditure</t>
        </is>
      </c>
      <c r="B58" s="21" t="n">
        <v>83.739</v>
      </c>
      <c r="C58" s="21" t="n">
        <v>58.852</v>
      </c>
      <c r="D58" s="21" t="n">
        <v>56.759</v>
      </c>
      <c r="E58" s="19">
        <f>B94+C94</f>
        <v/>
      </c>
      <c r="F58" s="13" t="n">
        <v>200</v>
      </c>
      <c r="G58" s="13" t="n">
        <v>450</v>
      </c>
      <c r="H58" s="13" t="n">
        <v>570</v>
      </c>
      <c r="I58" s="13" t="n">
        <v>570</v>
      </c>
      <c r="J58" s="13" t="n">
        <v>670</v>
      </c>
      <c r="K58" s="13" t="n">
        <v>720</v>
      </c>
      <c r="L58" s="13" t="n">
        <v>710</v>
      </c>
      <c r="M58" s="13" t="n">
        <v>600</v>
      </c>
      <c r="N58" s="13" t="n">
        <v>450</v>
      </c>
    </row>
    <row r="59">
      <c r="A59" t="inlineStr">
        <is>
          <t xml:space="preserve">  working capital, % of the revenue change</t>
        </is>
      </c>
      <c r="E59" s="24" t="n">
        <v>0.18</v>
      </c>
      <c r="F59" s="24" t="n">
        <v>0.18</v>
      </c>
      <c r="G59" s="24" t="n">
        <v>0.18</v>
      </c>
      <c r="H59" s="24" t="n">
        <v>0.18</v>
      </c>
      <c r="I59" s="24" t="n">
        <v>0.18</v>
      </c>
      <c r="J59" s="24" t="n">
        <v>0.18</v>
      </c>
      <c r="K59" s="24" t="n">
        <v>0.18</v>
      </c>
      <c r="L59" s="24" t="n">
        <v>0.18</v>
      </c>
      <c r="M59" s="24" t="n">
        <v>0.18</v>
      </c>
      <c r="N59" s="24" t="n">
        <v>0.18</v>
      </c>
    </row>
    <row r="60">
      <c r="A60" t="inlineStr">
        <is>
          <t xml:space="preserve">  memo: the annualized revenue basis the working-capital step runs on</t>
        </is>
      </c>
      <c r="E60" s="19">
        <f>C95</f>
        <v/>
      </c>
      <c r="F60" s="19">
        <f>F10</f>
        <v/>
      </c>
      <c r="G60" s="19">
        <f>G10</f>
        <v/>
      </c>
      <c r="H60" s="19">
        <f>H10</f>
        <v/>
      </c>
      <c r="I60" s="19">
        <f>I10</f>
        <v/>
      </c>
      <c r="J60" s="19">
        <f>J10</f>
        <v/>
      </c>
      <c r="K60" s="19">
        <f>K10</f>
        <v/>
      </c>
      <c r="L60" s="19">
        <f>L10</f>
        <v/>
      </c>
      <c r="M60" s="19">
        <f>M10</f>
        <v/>
      </c>
      <c r="N60" s="19">
        <f>N10</f>
        <v/>
      </c>
    </row>
    <row r="61">
      <c r="A61" t="inlineStr">
        <is>
          <t>Change in working capital  (cash absorbed)</t>
        </is>
      </c>
      <c r="B61" s="21" t="n">
        <v>440.362</v>
      </c>
      <c r="C61" s="21" t="n">
        <v>73.43800000000002</v>
      </c>
      <c r="D61" s="21" t="n">
        <v>217.285</v>
      </c>
      <c r="E61" s="19">
        <f>B96+C96</f>
        <v/>
      </c>
      <c r="F61" s="19">
        <f>F59*(F60-E60)</f>
        <v/>
      </c>
      <c r="G61" s="19">
        <f>G59*(G60-F60)</f>
        <v/>
      </c>
      <c r="H61" s="19">
        <f>H59*(H60-G60)</f>
        <v/>
      </c>
      <c r="I61" s="19">
        <f>I59*(I60-H60)</f>
        <v/>
      </c>
      <c r="J61" s="19">
        <f>J59*(J60-I60)</f>
        <v/>
      </c>
      <c r="K61" s="19">
        <f>K59*(K60-J60)</f>
        <v/>
      </c>
      <c r="L61" s="19">
        <f>L59*(L60-K60)</f>
        <v/>
      </c>
      <c r="M61" s="19">
        <f>M59*(M60-L60)</f>
        <v/>
      </c>
      <c r="N61" s="19">
        <f>N59*(N60-M60)</f>
        <v/>
      </c>
    </row>
    <row r="62">
      <c r="A62" s="5" t="inlineStr">
        <is>
          <t>FREE CASH FLOW  (unlevered)</t>
        </is>
      </c>
      <c r="B62" s="14">
        <f>B47-B50+B46-B58-B61</f>
        <v/>
      </c>
      <c r="C62" s="14">
        <f>C47-C50+C46-C58-C61</f>
        <v/>
      </c>
      <c r="D62" s="14">
        <f>D47-D50+D46-D58-D61</f>
        <v/>
      </c>
      <c r="E62" s="14">
        <f>E47-E50+E46-E58-E61</f>
        <v/>
      </c>
      <c r="F62" s="14">
        <f>F47-F50+F46-F58-F61</f>
        <v/>
      </c>
      <c r="G62" s="14">
        <f>G47-G50+G46-G58-G61</f>
        <v/>
      </c>
      <c r="H62" s="14">
        <f>H47-H50+H46-H58-H61</f>
        <v/>
      </c>
      <c r="I62" s="14">
        <f>I47-I50+I46-I58-I61</f>
        <v/>
      </c>
      <c r="J62" s="14">
        <f>J47-J50+J46-J58-J61</f>
        <v/>
      </c>
      <c r="K62" s="14">
        <f>K47-K50+K46-K58-K61</f>
        <v/>
      </c>
      <c r="L62" s="14">
        <f>L47-L50+L46-L58-L61</f>
        <v/>
      </c>
      <c r="M62" s="14">
        <f>M47-M50+M46-M58-M61</f>
        <v/>
      </c>
      <c r="N62" s="14">
        <f>N47-N50+N46-N58-N61</f>
        <v/>
      </c>
    </row>
    <row r="63">
      <c r="A63" t="inlineStr">
        <is>
          <t xml:space="preserve">  memo: free cash flow as filed (operating cash flow less capital expenditure)</t>
        </is>
      </c>
      <c r="B63" s="21" t="n">
        <v>-456.27</v>
      </c>
      <c r="C63" s="21" t="n">
        <v>33.146</v>
      </c>
      <c r="D63" s="21" t="n">
        <v>57.19</v>
      </c>
    </row>
    <row r="64"/>
    <row r="65">
      <c r="A65" s="3" t="inlineStr">
        <is>
          <t>TIE TO THE FILED STATEMENTS  —  the totals as filed, against this sheet's own build</t>
        </is>
      </c>
      <c r="B65" s="4" t="n"/>
      <c r="C65" s="4" t="n"/>
      <c r="D65" s="4" t="n"/>
      <c r="E65" s="4" t="n"/>
      <c r="F65" s="4" t="n"/>
      <c r="G65" s="4" t="n"/>
      <c r="H65" s="4" t="n"/>
      <c r="I65" s="4" t="n"/>
      <c r="J65" s="4" t="n"/>
      <c r="K65" s="4" t="n"/>
      <c r="L65" s="4" t="n"/>
      <c r="M65" s="4" t="n"/>
      <c r="N65" s="4" t="n"/>
    </row>
    <row r="66">
      <c r="A66" t="inlineStr">
        <is>
          <t xml:space="preserve">  Total revenue, as filed</t>
        </is>
      </c>
      <c r="B66" s="21" t="n">
        <v>1333.47</v>
      </c>
      <c r="C66" s="21" t="n">
        <v>1473.856</v>
      </c>
      <c r="D66" s="21" t="n">
        <v>2023.994</v>
      </c>
    </row>
    <row r="67">
      <c r="A67" t="inlineStr">
        <is>
          <t xml:space="preserve">  Gross profit, as filed</t>
        </is>
      </c>
      <c r="B67" s="21" t="n">
        <v>197.794</v>
      </c>
      <c r="C67" s="21" t="n">
        <v>404.648</v>
      </c>
      <c r="D67" s="21" t="n">
        <v>587.4</v>
      </c>
    </row>
    <row r="68">
      <c r="A68" t="inlineStr">
        <is>
          <t xml:space="preserve">  Operating income, as filed</t>
        </is>
      </c>
      <c r="B68" s="21" t="n">
        <v>-208.907</v>
      </c>
      <c r="C68" s="21" t="n">
        <v>22.909</v>
      </c>
      <c r="D68" s="21" t="n">
        <v>72.80200000000001</v>
      </c>
    </row>
    <row r="69">
      <c r="A69" t="inlineStr">
        <is>
          <t xml:space="preserve">  Net income to common, as filed</t>
        </is>
      </c>
      <c r="B69" s="21" t="n">
        <v>-302.116</v>
      </c>
      <c r="C69" s="21" t="n">
        <v>-29.227</v>
      </c>
      <c r="D69" s="21" t="n">
        <v>-88.434</v>
      </c>
    </row>
    <row r="70"/>
    <row r="71">
      <c r="A71" s="3" t="inlineStr">
        <is>
          <t>THE TWO HALVES OF 2026  —  how the FY2026E column above is built</t>
        </is>
      </c>
      <c r="B71" s="4" t="n"/>
      <c r="C71" s="4" t="n"/>
      <c r="D71" s="4" t="n"/>
      <c r="E71" s="4" t="n"/>
      <c r="F71" s="4" t="n"/>
      <c r="G71" s="4" t="n"/>
      <c r="H71" s="4" t="n"/>
      <c r="I71" s="4" t="n"/>
      <c r="J71" s="4" t="n"/>
      <c r="K71" s="4" t="n"/>
      <c r="L71" s="4" t="n"/>
      <c r="M71" s="4" t="n"/>
      <c r="N71" s="4" t="n"/>
    </row>
    <row r="72">
      <c r="B72" s="20" t="inlineStr">
        <is>
          <t>H1 2026A, filed</t>
        </is>
      </c>
      <c r="C72" s="20" t="inlineStr">
        <is>
          <t>H2 2026E, this model</t>
        </is>
      </c>
      <c r="D72" s="8" t="inlineStr">
        <is>
          <t>these two columns are half-years — the year headers at the top of the sheet do not apply to this block</t>
        </is>
      </c>
    </row>
    <row r="73">
      <c r="A73" t="inlineStr">
        <is>
          <t xml:space="preserve">  product revenue</t>
        </is>
      </c>
      <c r="B73" s="21" t="n">
        <v>1588.761</v>
      </c>
      <c r="C73" s="13" t="n">
        <v>1920.996</v>
      </c>
    </row>
    <row r="74">
      <c r="A74" t="inlineStr">
        <is>
          <t xml:space="preserve">  installation revenue</t>
        </is>
      </c>
      <c r="B74" s="21" t="n">
        <v>76.90900000000001</v>
      </c>
      <c r="C74" s="13" t="n">
        <v>115.25976</v>
      </c>
    </row>
    <row r="75">
      <c r="A75" t="inlineStr">
        <is>
          <t xml:space="preserve">  service revenue</t>
        </is>
      </c>
      <c r="B75" s="21" t="n">
        <v>130.902</v>
      </c>
      <c r="C75" s="22">
        <f>(C78*C79+C80*C81)/1000000*0.5</f>
        <v/>
      </c>
    </row>
    <row r="76">
      <c r="A76" t="inlineStr">
        <is>
          <t xml:space="preserve">  electricity revenue</t>
        </is>
      </c>
      <c r="B76" s="21" t="n">
        <v>19.847</v>
      </c>
      <c r="C76" s="13" t="n">
        <v>20</v>
      </c>
    </row>
    <row r="77">
      <c r="A77" t="inlineStr">
        <is>
          <t xml:space="preserve">  shipments in the estimated half  (megawatts)</t>
        </is>
      </c>
      <c r="C77" s="23" t="n">
        <v>582.12</v>
      </c>
    </row>
    <row r="78">
      <c r="A78" t="inlineStr">
        <is>
          <t xml:space="preserve">  megawatts under service contract  —  the fleet deployed by 2025</t>
        </is>
      </c>
      <c r="C78" s="23" t="n">
        <v>1800</v>
      </c>
    </row>
    <row r="79">
      <c r="A79" t="inlineStr">
        <is>
          <t xml:space="preserve">    at its realized rate  ($ per megawatt-year)</t>
        </is>
      </c>
      <c r="C79" s="23" t="n">
        <v>145000</v>
      </c>
    </row>
    <row r="80">
      <c r="A80" t="inlineStr">
        <is>
          <t xml:space="preserve">  megawatts under service contract  —  the cohorts shipped from 2026</t>
        </is>
      </c>
      <c r="C80" s="23" t="n">
        <v>495.88</v>
      </c>
    </row>
    <row r="81">
      <c r="A81" t="inlineStr">
        <is>
          <t xml:space="preserve">    at the contracts' rate  ($ per megawatt-year)</t>
        </is>
      </c>
      <c r="C81" s="23" t="n">
        <v>300000</v>
      </c>
    </row>
    <row r="82">
      <c r="A82" s="5" t="inlineStr">
        <is>
          <t xml:space="preserve">  total revenue</t>
        </is>
      </c>
      <c r="B82" s="12">
        <f>B73+B74+B75+B76</f>
        <v/>
      </c>
      <c r="C82" s="12">
        <f>C73+C74+C75+C76</f>
        <v/>
      </c>
    </row>
    <row r="83">
      <c r="A83" t="inlineStr">
        <is>
          <t xml:space="preserve">  product — the filed half's gross profit, the estimated half's margin</t>
        </is>
      </c>
      <c r="B83" s="21" t="n">
        <v>565.5719999999999</v>
      </c>
      <c r="C83" s="24" t="n">
        <v>0.36</v>
      </c>
    </row>
    <row r="84">
      <c r="A84" t="inlineStr">
        <is>
          <t xml:space="preserve">  installation — the filed half's gross profit, the estimated half's margin</t>
        </is>
      </c>
      <c r="B84" s="21" t="n">
        <v>-10.99999999999999</v>
      </c>
      <c r="C84" s="24" t="n">
        <v>-0.02</v>
      </c>
    </row>
    <row r="85">
      <c r="A85" t="inlineStr">
        <is>
          <t xml:space="preserve">  service — the filed half's gross profit, the estimated half's margin</t>
        </is>
      </c>
      <c r="B85" s="21" t="n">
        <v>21.08999999999997</v>
      </c>
      <c r="C85" s="24" t="n">
        <v>0.22</v>
      </c>
    </row>
    <row r="86">
      <c r="A86" t="inlineStr">
        <is>
          <t xml:space="preserve">  electricity — the filed half's gross profit, the estimated half's margin</t>
        </is>
      </c>
      <c r="B86" s="21" t="n">
        <v>5.454000000000001</v>
      </c>
      <c r="C86" s="24" t="n">
        <v>0.3</v>
      </c>
    </row>
    <row r="87">
      <c r="A87" s="5" t="inlineStr">
        <is>
          <t xml:space="preserve">  gross profit</t>
        </is>
      </c>
      <c r="B87" s="12">
        <f>B83+B84+B85+B86</f>
        <v/>
      </c>
      <c r="C87" s="12">
        <f>C73*C83+C74*C84+C75*C85+C76*C86</f>
        <v/>
      </c>
    </row>
    <row r="88">
      <c r="A88" t="inlineStr">
        <is>
          <t xml:space="preserve">  operating expense excluding stock compensation, % of revenue</t>
        </is>
      </c>
      <c r="C88" s="24" t="n">
        <v>0.13</v>
      </c>
    </row>
    <row r="89">
      <c r="A89" t="inlineStr">
        <is>
          <t xml:space="preserve">  operating expenses, excluding stock compensation</t>
        </is>
      </c>
      <c r="B89" s="21" t="n">
        <v>233.363</v>
      </c>
      <c r="C89" s="19">
        <f>C88*C82</f>
        <v/>
      </c>
    </row>
    <row r="90">
      <c r="A90" t="inlineStr">
        <is>
          <t xml:space="preserve">  stock compensation</t>
        </is>
      </c>
      <c r="B90" s="21" t="n">
        <v>93.32599999999999</v>
      </c>
      <c r="C90" s="13" t="n">
        <v>2.5</v>
      </c>
    </row>
    <row r="91">
      <c r="A91" s="5" t="inlineStr">
        <is>
          <t xml:space="preserve">  operating profit (EBIT)</t>
        </is>
      </c>
      <c r="B91" s="12">
        <f>B87-B89-B90</f>
        <v/>
      </c>
      <c r="C91" s="12">
        <f>C87-C89-C90</f>
        <v/>
      </c>
    </row>
    <row r="92">
      <c r="A92" t="inlineStr">
        <is>
          <t xml:space="preserve">  depreciation and amortization</t>
        </is>
      </c>
      <c r="B92" s="21" t="n">
        <v>27.025</v>
      </c>
      <c r="C92" s="13" t="n">
        <v>27.5</v>
      </c>
    </row>
    <row r="93">
      <c r="A93" t="inlineStr">
        <is>
          <t xml:space="preserve">  cash tax</t>
        </is>
      </c>
      <c r="B93" s="21" t="n">
        <v>1.915</v>
      </c>
      <c r="C93" s="13" t="n">
        <v>0</v>
      </c>
    </row>
    <row r="94">
      <c r="A94" t="inlineStr">
        <is>
          <t xml:space="preserve">  capital expenditure</t>
        </is>
      </c>
      <c r="B94" s="21" t="n">
        <v>77.82300000000001</v>
      </c>
      <c r="C94" s="13" t="n">
        <v>120</v>
      </c>
    </row>
    <row r="95">
      <c r="A95" t="inlineStr">
        <is>
          <t xml:space="preserve">  the half's revenue at an annual rate</t>
        </is>
      </c>
      <c r="B95" s="19">
        <f>2*B82</f>
        <v/>
      </c>
      <c r="C95" s="19">
        <f>2*C82</f>
        <v/>
      </c>
    </row>
    <row r="96">
      <c r="A96" t="inlineStr">
        <is>
          <t xml:space="preserve">  change in working capital (cash absorbed)</t>
        </is>
      </c>
      <c r="B96" s="21" t="n">
        <v>129.478</v>
      </c>
      <c r="C96" s="19">
        <f>E59*(C95-B95)*0.5</f>
        <v/>
      </c>
    </row>
    <row r="97">
      <c r="A97" s="5" t="inlineStr">
        <is>
          <t xml:space="preserve">  FREE CASH FLOW (unlevered)</t>
        </is>
      </c>
      <c r="B97" s="14">
        <f>B91-B93+B92-B94-B96</f>
        <v/>
      </c>
      <c r="C97" s="14">
        <f>C91-C93+C92-C94-C96</f>
        <v/>
      </c>
    </row>
    <row r="98">
      <c r="A98" t="inlineStr">
        <is>
          <t xml:space="preserve">  memo: the filed half's total revenue, as filed</t>
        </is>
      </c>
      <c r="B98" s="21" t="n">
        <v>1816.419</v>
      </c>
    </row>
    <row r="99">
      <c r="A99" t="inlineStr">
        <is>
          <t xml:space="preserve">  memo: the filed half's gross profit, as filed</t>
        </is>
      </c>
      <c r="B99" s="21" t="n">
        <v>581.116</v>
      </c>
    </row>
    <row r="100">
      <c r="A100" t="inlineStr">
        <is>
          <t xml:space="preserve">  memo: the filed half's operating income, as filed</t>
        </is>
      </c>
      <c r="B100" s="21" t="n">
        <v>254.427</v>
      </c>
    </row>
    <row r="101">
      <c r="A101" t="inlineStr">
        <is>
          <t xml:space="preserve">  memo: the filed half's net income to common, as filed</t>
        </is>
      </c>
      <c r="B101" s="21" t="n">
        <v>266.943</v>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L54"/>
  <sheetViews>
    <sheetView workbookViewId="0">
      <pane xSplit="2" ySplit="4" topLeftCell="C5" activePane="bottomRight" state="frozen"/>
      <selection pane="topRight"/>
      <selection pane="bottomLeft"/>
      <selection pane="bottomRight" activeCell="A1" sqref="A1"/>
    </sheetView>
  </sheetViews>
  <sheetFormatPr baseColWidth="8" defaultRowHeight="15" outlineLevelCol="0"/>
  <cols>
    <col width="54" customWidth="1" min="1" max="1"/>
    <col width="15"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s>
  <sheetData>
    <row r="1" ht="22" customHeight="1">
      <c r="A1" s="1" t="inlineStr">
        <is>
          <t>Bloom Energy  |  Valuation  |  enterprise discounted cash flow, $ millions</t>
        </is>
      </c>
      <c r="B1" s="2" t="n"/>
      <c r="C1" s="2" t="n"/>
      <c r="D1" s="2" t="n"/>
      <c r="E1" s="2" t="n"/>
      <c r="F1" s="2" t="n"/>
      <c r="G1" s="2" t="n"/>
      <c r="H1" s="2" t="n"/>
      <c r="I1" s="2" t="n"/>
      <c r="J1" s="2" t="n"/>
      <c r="K1" s="2" t="n"/>
      <c r="L1" s="2" t="n"/>
    </row>
    <row r="2"/>
    <row r="3">
      <c r="A3" s="8" t="inlineStr">
        <is>
          <t>The discounting is the model of record's: each calendar year compounded at its own year's rate from the value date of 2026-08-26, the flows arriving at mid-year, the terminal struck at year-end and carrying the half-year factor for the mid-year flows inside it. The rate schedule and the perpetuity's growth are editable.</t>
        </is>
      </c>
    </row>
    <row r="4">
      <c r="C4" s="20" t="inlineStr">
        <is>
          <t>2026E (H2)</t>
        </is>
      </c>
      <c r="D4" s="20" t="inlineStr">
        <is>
          <t>2027E</t>
        </is>
      </c>
      <c r="E4" s="20" t="inlineStr">
        <is>
          <t>2028E</t>
        </is>
      </c>
      <c r="F4" s="20" t="inlineStr">
        <is>
          <t>2029E</t>
        </is>
      </c>
      <c r="G4" s="20" t="inlineStr">
        <is>
          <t>2030E</t>
        </is>
      </c>
      <c r="H4" s="20" t="inlineStr">
        <is>
          <t>2031E</t>
        </is>
      </c>
      <c r="I4" s="20" t="inlineStr">
        <is>
          <t>2032E</t>
        </is>
      </c>
      <c r="J4" s="20" t="inlineStr">
        <is>
          <t>2033E</t>
        </is>
      </c>
      <c r="K4" s="20" t="inlineStr">
        <is>
          <t>2034E</t>
        </is>
      </c>
      <c r="L4" s="20" t="inlineStr">
        <is>
          <t>2035E</t>
        </is>
      </c>
    </row>
    <row r="5">
      <c r="A5" s="3" t="inlineStr">
        <is>
          <t>THE EXPLICIT YEARS</t>
        </is>
      </c>
      <c r="B5" s="4" t="n"/>
      <c r="C5" s="4" t="n"/>
      <c r="D5" s="4" t="n"/>
      <c r="E5" s="4" t="n"/>
      <c r="F5" s="4" t="n"/>
      <c r="G5" s="4" t="n"/>
      <c r="H5" s="4" t="n"/>
      <c r="I5" s="4" t="n"/>
      <c r="J5" s="4" t="n"/>
      <c r="K5" s="4" t="n"/>
      <c r="L5" s="4" t="n"/>
    </row>
    <row r="6">
      <c r="A6" s="5" t="inlineStr">
        <is>
          <t>Free cash flow</t>
        </is>
      </c>
      <c r="C6" s="12">
        <f>Financials!C97</f>
        <v/>
      </c>
      <c r="D6" s="12">
        <f>Financials!F62</f>
        <v/>
      </c>
      <c r="E6" s="12">
        <f>Financials!G62</f>
        <v/>
      </c>
      <c r="F6" s="12">
        <f>Financials!H62</f>
        <v/>
      </c>
      <c r="G6" s="12">
        <f>Financials!I62</f>
        <v/>
      </c>
      <c r="H6" s="12">
        <f>Financials!J62</f>
        <v/>
      </c>
      <c r="I6" s="12">
        <f>Financials!K62</f>
        <v/>
      </c>
      <c r="J6" s="12">
        <f>Financials!L62</f>
        <v/>
      </c>
      <c r="K6" s="12">
        <f>Financials!M62</f>
        <v/>
      </c>
      <c r="L6" s="12">
        <f>Financials!N62</f>
        <v/>
      </c>
    </row>
    <row r="7">
      <c r="A7" t="inlineStr">
        <is>
          <t>Discount rate  (the schedule — editable)</t>
        </is>
      </c>
      <c r="C7" s="24" t="n">
        <v>0.105</v>
      </c>
      <c r="D7" s="24" t="n">
        <v>0.105</v>
      </c>
      <c r="E7" s="24" t="n">
        <v>0.105</v>
      </c>
      <c r="F7" s="24" t="n">
        <v>0.105</v>
      </c>
      <c r="G7" s="24" t="n">
        <v>0.105</v>
      </c>
      <c r="H7" s="24" t="n">
        <v>0.105</v>
      </c>
      <c r="I7" s="24" t="n">
        <v>0.1</v>
      </c>
      <c r="J7" s="24" t="n">
        <v>0.1</v>
      </c>
      <c r="K7" s="24" t="n">
        <v>0.1</v>
      </c>
      <c r="L7" s="24" t="n">
        <v>0.1</v>
      </c>
    </row>
    <row r="8">
      <c r="A8" t="inlineStr">
        <is>
          <t>Year length from the value date  (years)</t>
        </is>
      </c>
      <c r="C8" s="29" t="n">
        <v>0.347945205479</v>
      </c>
      <c r="D8" s="29" t="n">
        <v>1</v>
      </c>
      <c r="E8" s="29" t="n">
        <v>1</v>
      </c>
      <c r="F8" s="29" t="n">
        <v>1</v>
      </c>
      <c r="G8" s="29" t="n">
        <v>1</v>
      </c>
      <c r="H8" s="29" t="n">
        <v>1</v>
      </c>
      <c r="I8" s="29" t="n">
        <v>1</v>
      </c>
      <c r="J8" s="29" t="n">
        <v>1</v>
      </c>
      <c r="K8" s="29" t="n">
        <v>1</v>
      </c>
      <c r="L8" s="29" t="n">
        <v>1</v>
      </c>
    </row>
    <row r="9">
      <c r="A9" t="inlineStr">
        <is>
          <t xml:space="preserve">  discount factor at the start of the year</t>
        </is>
      </c>
      <c r="C9" s="30">
        <f>1</f>
        <v/>
      </c>
      <c r="D9" s="30">
        <f>C10</f>
        <v/>
      </c>
      <c r="E9" s="30">
        <f>D10</f>
        <v/>
      </c>
      <c r="F9" s="30">
        <f>E10</f>
        <v/>
      </c>
      <c r="G9" s="30">
        <f>F10</f>
        <v/>
      </c>
      <c r="H9" s="30">
        <f>G10</f>
        <v/>
      </c>
      <c r="I9" s="30">
        <f>H10</f>
        <v/>
      </c>
      <c r="J9" s="30">
        <f>I10</f>
        <v/>
      </c>
      <c r="K9" s="30">
        <f>J10</f>
        <v/>
      </c>
      <c r="L9" s="30">
        <f>K10</f>
        <v/>
      </c>
    </row>
    <row r="10">
      <c r="A10" t="inlineStr">
        <is>
          <t xml:space="preserve">  discount factor at the end of the year</t>
        </is>
      </c>
      <c r="C10" s="30">
        <f>C9/(1+C7)^C8</f>
        <v/>
      </c>
      <c r="D10" s="30">
        <f>D9/(1+D7)^D8</f>
        <v/>
      </c>
      <c r="E10" s="30">
        <f>E9/(1+E7)^E8</f>
        <v/>
      </c>
      <c r="F10" s="30">
        <f>F9/(1+F7)^F8</f>
        <v/>
      </c>
      <c r="G10" s="30">
        <f>G9/(1+G7)^G8</f>
        <v/>
      </c>
      <c r="H10" s="30">
        <f>H9/(1+H7)^H8</f>
        <v/>
      </c>
      <c r="I10" s="30">
        <f>I9/(1+I7)^I8</f>
        <v/>
      </c>
      <c r="J10" s="30">
        <f>J9/(1+J7)^J8</f>
        <v/>
      </c>
      <c r="K10" s="30">
        <f>K9/(1+K7)^K8</f>
        <v/>
      </c>
      <c r="L10" s="30">
        <f>L9/(1+L7)^L8</f>
        <v/>
      </c>
    </row>
    <row r="11">
      <c r="A11" t="inlineStr">
        <is>
          <t xml:space="preserve">  discount factor at mid-year  (the flows arrive mid-year)</t>
        </is>
      </c>
      <c r="C11" s="30">
        <f>C9/(1+C7)^(C8*0.5)</f>
        <v/>
      </c>
      <c r="D11" s="30">
        <f>D9/(1+D7)^(D8*0.5)</f>
        <v/>
      </c>
      <c r="E11" s="30">
        <f>E9/(1+E7)^(E8*0.5)</f>
        <v/>
      </c>
      <c r="F11" s="30">
        <f>F9/(1+F7)^(F8*0.5)</f>
        <v/>
      </c>
      <c r="G11" s="30">
        <f>G9/(1+G7)^(G8*0.5)</f>
        <v/>
      </c>
      <c r="H11" s="30">
        <f>H9/(1+H7)^(H8*0.5)</f>
        <v/>
      </c>
      <c r="I11" s="30">
        <f>I9/(1+I7)^(I8*0.5)</f>
        <v/>
      </c>
      <c r="J11" s="30">
        <f>J9/(1+J7)^(J8*0.5)</f>
        <v/>
      </c>
      <c r="K11" s="30">
        <f>K9/(1+K7)^(K8*0.5)</f>
        <v/>
      </c>
      <c r="L11" s="30">
        <f>L9/(1+L7)^(L8*0.5)</f>
        <v/>
      </c>
    </row>
    <row r="12">
      <c r="A12" s="5" t="inlineStr">
        <is>
          <t>Present value of the year's free cash flow</t>
        </is>
      </c>
      <c r="C12" s="12">
        <f>C6*C11</f>
        <v/>
      </c>
      <c r="D12" s="12">
        <f>D6*D11</f>
        <v/>
      </c>
      <c r="E12" s="12">
        <f>E6*E11</f>
        <v/>
      </c>
      <c r="F12" s="12">
        <f>F6*F11</f>
        <v/>
      </c>
      <c r="G12" s="12">
        <f>G6*G11</f>
        <v/>
      </c>
      <c r="H12" s="12">
        <f>H6*H11</f>
        <v/>
      </c>
      <c r="I12" s="12">
        <f>I6*I11</f>
        <v/>
      </c>
      <c r="J12" s="12">
        <f>J6*J11</f>
        <v/>
      </c>
      <c r="K12" s="12">
        <f>K6*K11</f>
        <v/>
      </c>
      <c r="L12" s="12">
        <f>L6*L11</f>
        <v/>
      </c>
    </row>
    <row r="13"/>
    <row r="14">
      <c r="A14" s="3" t="inlineStr">
        <is>
          <t>THE TRANSITION, 2036 to 2045  —  a rule, not modelled years</t>
        </is>
      </c>
      <c r="B14" s="4" t="n"/>
      <c r="C14" s="4" t="n"/>
      <c r="D14" s="4" t="n"/>
      <c r="E14" s="4" t="n"/>
      <c r="F14" s="4" t="n"/>
      <c r="G14" s="4" t="n"/>
      <c r="H14" s="4" t="n"/>
      <c r="I14" s="4" t="n"/>
      <c r="J14" s="4" t="n"/>
      <c r="K14" s="4" t="n"/>
      <c r="L14" s="4" t="n"/>
    </row>
    <row r="15">
      <c r="C15" s="20" t="inlineStr">
        <is>
          <t>2036</t>
        </is>
      </c>
      <c r="D15" s="20" t="inlineStr">
        <is>
          <t>2037</t>
        </is>
      </c>
      <c r="E15" s="20" t="inlineStr">
        <is>
          <t>2038</t>
        </is>
      </c>
      <c r="F15" s="20" t="inlineStr">
        <is>
          <t>2039</t>
        </is>
      </c>
      <c r="G15" s="20" t="inlineStr">
        <is>
          <t>2040</t>
        </is>
      </c>
      <c r="H15" s="20" t="inlineStr">
        <is>
          <t>2041</t>
        </is>
      </c>
      <c r="I15" s="20" t="inlineStr">
        <is>
          <t>2042</t>
        </is>
      </c>
      <c r="J15" s="20" t="inlineStr">
        <is>
          <t>2043</t>
        </is>
      </c>
      <c r="K15" s="20" t="inlineStr">
        <is>
          <t>2044</t>
        </is>
      </c>
      <c r="L15" s="20" t="inlineStr">
        <is>
          <t>2045</t>
        </is>
      </c>
    </row>
    <row r="16">
      <c r="A16" t="inlineStr">
        <is>
          <t>The transition's starting growth</t>
        </is>
      </c>
      <c r="B16" s="31" t="n">
        <v>0.06183023362312423</v>
      </c>
    </row>
    <row r="17">
      <c r="A17" t="inlineStr">
        <is>
          <t>The perpetuity's growth  (the transition fades to it)</t>
        </is>
      </c>
      <c r="B17" s="24" t="n">
        <v>0.03</v>
      </c>
    </row>
    <row r="18">
      <c r="A18" t="inlineStr">
        <is>
          <t>Growth capital the 2035 footing charges, per unit of growth</t>
        </is>
      </c>
      <c r="B18" s="13" t="n">
        <v>2890</v>
      </c>
    </row>
    <row r="19">
      <c r="A19" t="inlineStr">
        <is>
          <t>Working capital the 2035 footing charges, per unit of growth</t>
        </is>
      </c>
      <c r="B19" s="19">
        <f>Financials!N59*Financials!N10</f>
        <v/>
      </c>
    </row>
    <row r="20">
      <c r="A20" s="5" t="inlineStr">
        <is>
          <t>The 2035 flow put on a steady-state footing</t>
        </is>
      </c>
      <c r="B20" s="12">
        <f>(Financials!N47-Financials!N50)-$B$16*($B$18+$B$19)</f>
        <v/>
      </c>
    </row>
    <row r="21">
      <c r="A21" t="inlineStr">
        <is>
          <t>Growth</t>
        </is>
      </c>
      <c r="C21" s="11">
        <f>$B$16+($B$17-$B$16)*0/9</f>
        <v/>
      </c>
      <c r="D21" s="11">
        <f>$B$16+($B$17-$B$16)*1/9</f>
        <v/>
      </c>
      <c r="E21" s="11">
        <f>$B$16+($B$17-$B$16)*2/9</f>
        <v/>
      </c>
      <c r="F21" s="11">
        <f>$B$16+($B$17-$B$16)*3/9</f>
        <v/>
      </c>
      <c r="G21" s="11">
        <f>$B$16+($B$17-$B$16)*4/9</f>
        <v/>
      </c>
      <c r="H21" s="11">
        <f>$B$16+($B$17-$B$16)*5/9</f>
        <v/>
      </c>
      <c r="I21" s="11">
        <f>$B$16+($B$17-$B$16)*6/9</f>
        <v/>
      </c>
      <c r="J21" s="11">
        <f>$B$16+($B$17-$B$16)*7/9</f>
        <v/>
      </c>
      <c r="K21" s="11">
        <f>$B$16+($B$17-$B$16)*8/9</f>
        <v/>
      </c>
      <c r="L21" s="11">
        <f>$B$16+($B$17-$B$16)*9/9</f>
        <v/>
      </c>
    </row>
    <row r="22">
      <c r="A22" s="5" t="inlineStr">
        <is>
          <t>Free cash flow</t>
        </is>
      </c>
      <c r="C22" s="12">
        <f>$B$20*(1+C21)</f>
        <v/>
      </c>
      <c r="D22" s="12">
        <f>C22*(1+D21)</f>
        <v/>
      </c>
      <c r="E22" s="12">
        <f>D22*(1+E21)</f>
        <v/>
      </c>
      <c r="F22" s="12">
        <f>E22*(1+F21)</f>
        <v/>
      </c>
      <c r="G22" s="12">
        <f>F22*(1+G21)</f>
        <v/>
      </c>
      <c r="H22" s="12">
        <f>G22*(1+H21)</f>
        <v/>
      </c>
      <c r="I22" s="12">
        <f>H22*(1+I21)</f>
        <v/>
      </c>
      <c r="J22" s="12">
        <f>I22*(1+J21)</f>
        <v/>
      </c>
      <c r="K22" s="12">
        <f>J22*(1+K21)</f>
        <v/>
      </c>
      <c r="L22" s="12">
        <f>K22*(1+L21)</f>
        <v/>
      </c>
    </row>
    <row r="23">
      <c r="A23" t="inlineStr">
        <is>
          <t>Discount rate</t>
        </is>
      </c>
      <c r="C23" s="24" t="n">
        <v>0.1</v>
      </c>
      <c r="D23" s="24" t="n">
        <v>0.1</v>
      </c>
      <c r="E23" s="24" t="n">
        <v>0.1</v>
      </c>
      <c r="F23" s="24" t="n">
        <v>0.1</v>
      </c>
      <c r="G23" s="24" t="n">
        <v>0.095</v>
      </c>
      <c r="H23" s="24" t="n">
        <v>0.095</v>
      </c>
      <c r="I23" s="24" t="n">
        <v>0.095</v>
      </c>
      <c r="J23" s="24" t="n">
        <v>0.095</v>
      </c>
      <c r="K23" s="24" t="n">
        <v>0.095</v>
      </c>
      <c r="L23" s="24" t="n">
        <v>0.095</v>
      </c>
    </row>
    <row r="24">
      <c r="A24" t="inlineStr">
        <is>
          <t xml:space="preserve">  discount factor at the start of the year</t>
        </is>
      </c>
      <c r="C24" s="30">
        <f>L10</f>
        <v/>
      </c>
      <c r="D24" s="30">
        <f>C25</f>
        <v/>
      </c>
      <c r="E24" s="30">
        <f>D25</f>
        <v/>
      </c>
      <c r="F24" s="30">
        <f>E25</f>
        <v/>
      </c>
      <c r="G24" s="30">
        <f>F25</f>
        <v/>
      </c>
      <c r="H24" s="30">
        <f>G25</f>
        <v/>
      </c>
      <c r="I24" s="30">
        <f>H25</f>
        <v/>
      </c>
      <c r="J24" s="30">
        <f>I25</f>
        <v/>
      </c>
      <c r="K24" s="30">
        <f>J25</f>
        <v/>
      </c>
      <c r="L24" s="30">
        <f>K25</f>
        <v/>
      </c>
    </row>
    <row r="25">
      <c r="A25" t="inlineStr">
        <is>
          <t xml:space="preserve">  discount factor at the end of the year</t>
        </is>
      </c>
      <c r="C25" s="30">
        <f>C24/(1+C23)</f>
        <v/>
      </c>
      <c r="D25" s="30">
        <f>D24/(1+D23)</f>
        <v/>
      </c>
      <c r="E25" s="30">
        <f>E24/(1+E23)</f>
        <v/>
      </c>
      <c r="F25" s="30">
        <f>F24/(1+F23)</f>
        <v/>
      </c>
      <c r="G25" s="30">
        <f>G24/(1+G23)</f>
        <v/>
      </c>
      <c r="H25" s="30">
        <f>H24/(1+H23)</f>
        <v/>
      </c>
      <c r="I25" s="30">
        <f>I24/(1+I23)</f>
        <v/>
      </c>
      <c r="J25" s="30">
        <f>J24/(1+J23)</f>
        <v/>
      </c>
      <c r="K25" s="30">
        <f>K24/(1+K23)</f>
        <v/>
      </c>
      <c r="L25" s="30">
        <f>L24/(1+L23)</f>
        <v/>
      </c>
    </row>
    <row r="26">
      <c r="A26" t="inlineStr">
        <is>
          <t xml:space="preserve">  discount factor at mid-year</t>
        </is>
      </c>
      <c r="C26" s="30">
        <f>C24/(1+C23)^0.5</f>
        <v/>
      </c>
      <c r="D26" s="30">
        <f>D24/(1+D23)^0.5</f>
        <v/>
      </c>
      <c r="E26" s="30">
        <f>E24/(1+E23)^0.5</f>
        <v/>
      </c>
      <c r="F26" s="30">
        <f>F24/(1+F23)^0.5</f>
        <v/>
      </c>
      <c r="G26" s="30">
        <f>G24/(1+G23)^0.5</f>
        <v/>
      </c>
      <c r="H26" s="30">
        <f>H24/(1+H23)^0.5</f>
        <v/>
      </c>
      <c r="I26" s="30">
        <f>I24/(1+I23)^0.5</f>
        <v/>
      </c>
      <c r="J26" s="30">
        <f>J24/(1+J23)^0.5</f>
        <v/>
      </c>
      <c r="K26" s="30">
        <f>K24/(1+K23)^0.5</f>
        <v/>
      </c>
      <c r="L26" s="30">
        <f>L24/(1+L23)^0.5</f>
        <v/>
      </c>
    </row>
    <row r="27">
      <c r="A27" s="5" t="inlineStr">
        <is>
          <t>Present value of the year's free cash flow</t>
        </is>
      </c>
      <c r="C27" s="12">
        <f>C22*C26</f>
        <v/>
      </c>
      <c r="D27" s="12">
        <f>D22*D26</f>
        <v/>
      </c>
      <c r="E27" s="12">
        <f>E22*E26</f>
        <v/>
      </c>
      <c r="F27" s="12">
        <f>F22*F26</f>
        <v/>
      </c>
      <c r="G27" s="12">
        <f>G22*G26</f>
        <v/>
      </c>
      <c r="H27" s="12">
        <f>H22*H26</f>
        <v/>
      </c>
      <c r="I27" s="12">
        <f>I22*I26</f>
        <v/>
      </c>
      <c r="J27" s="12">
        <f>J22*J26</f>
        <v/>
      </c>
      <c r="K27" s="12">
        <f>K22*K26</f>
        <v/>
      </c>
      <c r="L27" s="12">
        <f>L22*L26</f>
        <v/>
      </c>
    </row>
    <row r="28"/>
    <row r="29">
      <c r="A29" s="3" t="inlineStr">
        <is>
          <t>THE PERPETUITY FROM 2045</t>
        </is>
      </c>
      <c r="B29" s="4" t="n"/>
      <c r="C29" s="4" t="n"/>
      <c r="D29" s="4" t="n"/>
      <c r="E29" s="4" t="n"/>
      <c r="F29" s="4" t="n"/>
      <c r="G29" s="4" t="n"/>
      <c r="H29" s="4" t="n"/>
      <c r="I29" s="4" t="n"/>
      <c r="J29" s="4" t="n"/>
      <c r="K29" s="4" t="n"/>
      <c r="L29" s="4" t="n"/>
    </row>
    <row r="30">
      <c r="A30" t="inlineStr">
        <is>
          <t>The 2045 footing</t>
        </is>
      </c>
      <c r="B30" s="13" t="n">
        <v>18930.536465</v>
      </c>
    </row>
    <row r="31">
      <c r="A31" t="inlineStr">
        <is>
          <t>The perpetuity's rate</t>
        </is>
      </c>
      <c r="B31" s="11">
        <f>L23</f>
        <v/>
      </c>
    </row>
    <row r="32">
      <c r="A32" s="5" t="inlineStr">
        <is>
          <t>Terminal value at the end of 2045</t>
        </is>
      </c>
      <c r="B32" s="12">
        <f>$B$30*(1+$B$17)/($B$31-$B$17)*(1+$B$31)^0.5</f>
        <v/>
      </c>
    </row>
    <row r="33">
      <c r="A33" s="5" t="inlineStr">
        <is>
          <t xml:space="preserve">  present value of the perpetuity</t>
        </is>
      </c>
      <c r="B33" s="12">
        <f>$B$32*L25</f>
        <v/>
      </c>
    </row>
    <row r="34"/>
    <row r="35">
      <c r="A35" s="3" t="inlineStr">
        <is>
          <t>THE VALUE</t>
        </is>
      </c>
      <c r="B35" s="4" t="n"/>
      <c r="C35" s="4" t="n"/>
      <c r="D35" s="4" t="n"/>
      <c r="E35" s="4" t="n"/>
      <c r="F35" s="4" t="n"/>
      <c r="G35" s="4" t="n"/>
      <c r="H35" s="4" t="n"/>
      <c r="I35" s="4" t="n"/>
      <c r="J35" s="4" t="n"/>
      <c r="K35" s="4" t="n"/>
      <c r="L35" s="4" t="n"/>
    </row>
    <row r="36">
      <c r="A36" t="inlineStr">
        <is>
          <t>Present value of the explicit years</t>
        </is>
      </c>
      <c r="B36" s="19">
        <f>SUM(C12:L12)</f>
        <v/>
      </c>
    </row>
    <row r="37">
      <c r="A37" t="inlineStr">
        <is>
          <t>Present value of the transition</t>
        </is>
      </c>
      <c r="B37" s="19">
        <f>SUM(C27:L27)</f>
        <v/>
      </c>
    </row>
    <row r="38">
      <c r="A38" t="inlineStr">
        <is>
          <t>Present value of the perpetuity</t>
        </is>
      </c>
      <c r="B38" s="19">
        <f>$B$33</f>
        <v/>
      </c>
    </row>
    <row r="39">
      <c r="A39" s="5" t="inlineStr">
        <is>
          <t>ENTERPRISE VALUE</t>
        </is>
      </c>
      <c r="B39" s="14">
        <f>$B$36+$B$37+$B$38</f>
        <v/>
      </c>
    </row>
    <row r="40">
      <c r="A40" t="inlineStr">
        <is>
          <t xml:space="preserve">  the explicit years' share of it</t>
        </is>
      </c>
      <c r="B40" s="11">
        <f>$B$36/$B$39</f>
        <v/>
      </c>
    </row>
    <row r="41">
      <c r="A41" t="inlineStr">
        <is>
          <t xml:space="preserve">  the transition's share of it</t>
        </is>
      </c>
      <c r="B41" s="11">
        <f>$B$37/$B$39</f>
        <v/>
      </c>
    </row>
    <row r="42">
      <c r="A42" t="inlineStr">
        <is>
          <t xml:space="preserve">  the perpetuity's share of it</t>
        </is>
      </c>
      <c r="B42" s="11">
        <f>$B$38/$B$39</f>
        <v/>
      </c>
    </row>
    <row r="43">
      <c r="A43" t="inlineStr">
        <is>
          <t xml:space="preserve">  plus the bridge (from Summary)</t>
        </is>
      </c>
      <c r="B43" s="19">
        <f>Summary!$B$17</f>
        <v/>
      </c>
    </row>
    <row r="44">
      <c r="A44" s="5" t="inlineStr">
        <is>
          <t>EQUITY VALUE</t>
        </is>
      </c>
      <c r="B44" s="12">
        <f>$B$39+$B$43</f>
        <v/>
      </c>
    </row>
    <row r="45">
      <c r="A45" t="inlineStr">
        <is>
          <t xml:space="preserve">  the count the valuation uses (from Summary)</t>
        </is>
      </c>
      <c r="B45" s="17">
        <f>Summary!$B$32</f>
        <v/>
      </c>
    </row>
    <row r="46">
      <c r="A46" s="5" t="inlineStr">
        <is>
          <t>VALUE PER SHARE</t>
        </is>
      </c>
      <c r="B46" s="6">
        <f>($B$44+Summary!$B$26*Summary!$B$27)/(Summary!$B$24+Summary!$B$26+Summary!$B$28+Summary!$B$30)</f>
        <v/>
      </c>
    </row>
    <row r="47"/>
    <row r="48">
      <c r="A48" s="3" t="inlineStr">
        <is>
          <t>INSTRUMENT B  —  the same value read as an exit multiple at 2035</t>
        </is>
      </c>
      <c r="B48" s="4" t="n"/>
      <c r="C48" s="4" t="n"/>
      <c r="D48" s="4" t="n"/>
      <c r="E48" s="4" t="n"/>
      <c r="F48" s="4" t="n"/>
      <c r="G48" s="4" t="n"/>
      <c r="H48" s="4" t="n"/>
      <c r="I48" s="4" t="n"/>
      <c r="J48" s="4" t="n"/>
      <c r="K48" s="4" t="n"/>
      <c r="L48" s="4" t="n"/>
    </row>
    <row r="49">
      <c r="A49" t="inlineStr">
        <is>
          <t>Value at the end of 2035 of the transition and the perpetuity</t>
        </is>
      </c>
      <c r="B49" s="19">
        <f>($B$37+$B$38)/L10</f>
        <v/>
      </c>
    </row>
    <row r="50">
      <c r="A50" t="inlineStr">
        <is>
          <t xml:space="preserve">  2035 operating profit</t>
        </is>
      </c>
      <c r="B50" s="19">
        <f>Financials!N47</f>
        <v/>
      </c>
    </row>
    <row r="51">
      <c r="A51" t="inlineStr">
        <is>
          <t xml:space="preserve">  2035 EBITDA</t>
        </is>
      </c>
      <c r="B51" s="19">
        <f>Financials!N49</f>
        <v/>
      </c>
    </row>
    <row r="52">
      <c r="A52" s="5" t="inlineStr">
        <is>
          <t>Implied exit multiple on 2035 operating profit</t>
        </is>
      </c>
      <c r="B52" s="32">
        <f>$B$49/$B$50</f>
        <v/>
      </c>
    </row>
    <row r="53">
      <c r="A53" s="5" t="inlineStr">
        <is>
          <t>Implied exit multiple on 2035 EBITDA</t>
        </is>
      </c>
      <c r="B53" s="32">
        <f>$B$49/$B$51</f>
        <v/>
      </c>
    </row>
    <row r="54">
      <c r="A54" s="8" t="inlineStr">
        <is>
          <t>Cutting the window at 2035 at this multiple returns the same enterprise value by construction: the multiple IS the later flows, so the agreement of the two instruments carries no independent information and none is claimed for it. What it is for is the comparison with what the market pays the equipment makers on their own far years, which the note makes in prose.</t>
        </is>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C19"/>
  <sheetViews>
    <sheetView workbookViewId="0">
      <pane ySplit="4" topLeftCell="A5" activePane="bottomLeft" state="frozen"/>
      <selection pane="bottomLeft" activeCell="A1" sqref="A1"/>
    </sheetView>
  </sheetViews>
  <sheetFormatPr baseColWidth="8" defaultRowHeight="15" outlineLevelCol="0"/>
  <cols>
    <col width="56" customWidth="1" min="1" max="1"/>
    <col width="92" customWidth="1" min="2" max="2"/>
    <col width="13" customWidth="1" min="3" max="3"/>
  </cols>
  <sheetData>
    <row r="1" ht="22" customHeight="1">
      <c r="A1" s="1" t="inlineStr">
        <is>
          <t>Bloom Energy  |  The readings priced  |  value per share</t>
        </is>
      </c>
      <c r="B1" s="2" t="n"/>
      <c r="C1" s="2" t="n"/>
    </row>
    <row r="2"/>
    <row r="3">
      <c r="A3" s="8" t="inlineStr">
        <is>
          <t>Each row moves the model of record's own inputs to the reading it names and reports what that reading is worth. Transcription, not re-derivation: the values are the record's, read from record/be-model-values.json by label. Unweighted — no probability the research did not derive. Each case's physical content is the note's prose; the words here are the note's own.</t>
        </is>
      </c>
    </row>
    <row r="4">
      <c r="A4" s="3" t="inlineStr">
        <is>
          <t>The case</t>
        </is>
      </c>
      <c r="B4" s="3" t="inlineStr">
        <is>
          <t>What it requires</t>
        </is>
      </c>
      <c r="C4" s="3" t="inlineStr">
        <is>
          <t>Value</t>
        </is>
      </c>
    </row>
    <row r="5">
      <c r="A5" s="33" t="inlineStr">
        <is>
          <t>The first factory filled and nothing past it</t>
        </is>
      </c>
      <c r="B5" s="34" t="inlineStr">
        <is>
          <t>the first site running full from 2029, no second footprint, the fleet's own growth after it</t>
        </is>
      </c>
      <c r="C5" s="35" t="n">
        <v>185.38</v>
      </c>
    </row>
    <row r="6">
      <c r="A6" s="33" t="inlineStr">
        <is>
          <t>The same, on the record's own shipping rule</t>
        </is>
      </c>
      <c r="B6" s="34" t="inlineStr">
        <is>
          <t>the same site, shipped at the rate the record's rule ships from it rather than the higher rate above, and no growth after</t>
        </is>
      </c>
      <c r="C6" s="35" t="n">
        <v>121.47</v>
      </c>
    </row>
    <row r="7">
      <c r="A7" s="33" t="inlineStr">
        <is>
          <t>The Street's case, whole</t>
        </is>
      </c>
      <c r="B7" s="34" t="inlineStr">
        <is>
          <t>the first site filled; 44% product margins; 7% operating expense; 25% working capital; a point lower cost of capital; 4% perpetual growth</t>
        </is>
      </c>
      <c r="C7" s="35" t="n">
        <v>251.48</v>
      </c>
    </row>
    <row r="8">
      <c r="A8" s="33" t="inlineStr">
        <is>
          <t>The Street's case, whole, with the price held and heavier working capital</t>
        </is>
      </c>
      <c r="B8" s="34" t="inlineStr">
        <is>
          <t>the same, the price not tapering after 2031 and working capital at 30%</t>
        </is>
      </c>
      <c r="C8" s="35" t="n">
        <v>260.47</v>
      </c>
    </row>
    <row r="9">
      <c r="A9" s="33" t="inlineStr">
        <is>
          <t>The second footprint one year late</t>
        </is>
      </c>
      <c r="B9" s="34" t="inlineStr">
        <is>
          <t>2029 held at the first site, the additions resuming in 2030</t>
        </is>
      </c>
      <c r="C9" s="35" t="n">
        <v>315.7</v>
      </c>
    </row>
    <row r="10">
      <c r="A10" s="33" t="inlineStr">
        <is>
          <t>The additions at the low end of the stated pace</t>
        </is>
      </c>
      <c r="B10" s="34" t="inlineStr">
        <is>
          <t>the pace at the bottom of the company's own stated range rather than its middle, the later taper in proportion</t>
        </is>
      </c>
      <c r="C10" s="35" t="n">
        <v>302.3</v>
      </c>
    </row>
    <row r="11">
      <c r="A11" s="33" t="inlineStr">
        <is>
          <t>The price fading on the makers' order calendar for the whole book</t>
        </is>
      </c>
      <c r="B11" s="34" t="inlineStr">
        <is>
          <t>a 2% annual fade on the whole book from 2028, in place of the delivery-calendar taper</t>
        </is>
      </c>
      <c r="C11" s="35" t="n">
        <v>343.26</v>
      </c>
    </row>
    <row r="12">
      <c r="A12" s="33" t="inlineStr">
        <is>
          <t>Service at the old fleet's rate</t>
        </is>
      </c>
      <c r="B12" s="34" t="inlineStr">
        <is>
          <t>the new fleet's service earning no more than what the deployed fleet earns today</t>
        </is>
      </c>
      <c r="C12" s="35" t="n">
        <v>309.7</v>
      </c>
    </row>
    <row r="13">
      <c r="A13" s="33" t="inlineStr">
        <is>
          <t>The new fleet's contracts ending at six years, none renewed</t>
        </is>
      </c>
      <c r="B13" s="34" t="inlineStr">
        <is>
          <t>the annual termination right exercised at the first term, and nothing re-bought</t>
        </is>
      </c>
      <c r="C13" s="35" t="n">
        <v>318.7</v>
      </c>
    </row>
    <row r="14">
      <c r="A14" s="5" t="inlineStr">
        <is>
          <t>This note's path</t>
        </is>
      </c>
      <c r="B14" s="34" t="inlineStr">
        <is>
          <t>as section 4 of the note sets it out</t>
        </is>
      </c>
      <c r="C14" s="6" t="n">
        <v>357.57</v>
      </c>
    </row>
    <row r="15">
      <c r="A15" s="33" t="inlineStr">
        <is>
          <t>The additions at the top of the stated pace</t>
        </is>
      </c>
      <c r="B15" s="34" t="inlineStr">
        <is>
          <t>the pace at the top of the company's own stated range, the later taper in proportion</t>
        </is>
      </c>
      <c r="C15" s="35" t="n">
        <v>431.24</v>
      </c>
    </row>
    <row r="16">
      <c r="A16" s="33" t="inlineStr">
        <is>
          <t>The alternative arrives in 2029</t>
        </is>
      </c>
      <c r="B16" s="34" t="inlineStr">
        <is>
          <t>the volume held flat from 2029, the price down 5% a year to 2035 and product margin to 25% by 2032 — three inputs moved together on one event the makers date later</t>
        </is>
      </c>
      <c r="C16" s="35" t="n">
        <v>68.48</v>
      </c>
    </row>
    <row r="17"/>
    <row r="18">
      <c r="A18" s="8" t="inlineStr">
        <is>
          <t>The bottom row is what the position looks like if the turbine makers are wrong about their own order books. The top of the table is what the Street's models describe.</t>
        </is>
      </c>
    </row>
    <row r="19">
      <c r="A19" s="8" t="inlineStr">
        <is>
          <t>Two readings the record priced that this table does not carry as cases: the model's own rules run on to 2055 give about $397, and the perpetuity struck on the transition's faded last flow gives about $344. Neither is claimed.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3"/>
  <sheetViews>
    <sheetView workbookViewId="0">
      <pane xSplit="1" ySplit="2" topLeftCell="B3" activePane="bottomRight" state="frozen"/>
      <selection pane="topRight"/>
      <selection pane="bottomLeft"/>
      <selection pane="bottomRight" activeCell="A1" sqref="A1"/>
    </sheetView>
  </sheetViews>
  <sheetFormatPr baseColWidth="8" defaultRowHeight="15" outlineLevelCol="0"/>
  <cols>
    <col width="34"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22" customHeight="1">
      <c r="A1" s="1" t="inlineStr">
        <is>
          <t>Bloom Energy  |  Sensitivity  |  value per share</t>
        </is>
      </c>
      <c r="B1" s="2" t="n"/>
      <c r="C1" s="2" t="n"/>
      <c r="D1" s="2" t="n"/>
      <c r="E1" s="2" t="n"/>
      <c r="F1" s="2" t="n"/>
      <c r="G1" s="2" t="n"/>
      <c r="H1" s="2" t="n"/>
    </row>
    <row r="2"/>
    <row r="3">
      <c r="A3" s="3" t="inlineStr">
        <is>
          <t>1.  THE COST-OF-CAPITAL SCHEDULE, SHIFTED IN PARALLEL (down)  x  THE PERPETUITY'S GROWTH (across)</t>
        </is>
      </c>
      <c r="B3" s="4" t="n"/>
      <c r="C3" s="4" t="n"/>
      <c r="D3" s="4" t="n"/>
      <c r="E3" s="4" t="n"/>
      <c r="F3" s="4" t="n"/>
      <c r="G3" s="4" t="n"/>
      <c r="H3" s="4" t="n"/>
    </row>
    <row r="4">
      <c r="A4" s="8" t="inlineStr">
        <is>
          <t>The model of record's own first grid, read from record/be-model-values.json. The whole schedule moves together; in each column the transition fades to that growth and the perpetuity's footing moves with it.</t>
        </is>
      </c>
    </row>
    <row r="5">
      <c r="A5" s="5" t="inlineStr">
        <is>
          <t>schedule shift / perpetuity growth</t>
        </is>
      </c>
      <c r="B5" s="36" t="n">
        <v>0.02</v>
      </c>
      <c r="C5" s="36" t="n">
        <v>0.025</v>
      </c>
      <c r="D5" s="36" t="n">
        <v>0.03</v>
      </c>
      <c r="E5" s="36" t="n">
        <v>0.035</v>
      </c>
      <c r="F5" s="36" t="n">
        <v>0.04</v>
      </c>
      <c r="G5" s="36" t="n">
        <v>0.045</v>
      </c>
      <c r="H5" s="36" t="n">
        <v>0.05</v>
      </c>
    </row>
    <row r="6">
      <c r="A6" s="33" t="inlineStr">
        <is>
          <t>the schedule two points lower</t>
        </is>
      </c>
      <c r="B6" s="35" t="n">
        <v>500.53</v>
      </c>
      <c r="C6" s="35" t="n">
        <v>526.89</v>
      </c>
      <c r="D6" s="35" t="n">
        <v>558.85</v>
      </c>
      <c r="E6" s="35" t="n">
        <v>598.51</v>
      </c>
      <c r="F6" s="35" t="n">
        <v>649.15</v>
      </c>
      <c r="G6" s="35" t="n">
        <v>716.27</v>
      </c>
      <c r="H6" s="35" t="n">
        <v>809.73</v>
      </c>
    </row>
    <row r="7">
      <c r="A7" s="33" t="inlineStr">
        <is>
          <t>the schedule a point lower</t>
        </is>
      </c>
      <c r="B7" s="35" t="n">
        <v>404.56</v>
      </c>
      <c r="C7" s="35" t="n">
        <v>420.45</v>
      </c>
      <c r="D7" s="35" t="n">
        <v>439.06</v>
      </c>
      <c r="E7" s="35" t="n">
        <v>461.19</v>
      </c>
      <c r="F7" s="35" t="n">
        <v>488.01</v>
      </c>
      <c r="G7" s="35" t="n">
        <v>521.27</v>
      </c>
      <c r="H7" s="35" t="n">
        <v>563.74</v>
      </c>
    </row>
    <row r="8">
      <c r="A8" s="5" t="inlineStr">
        <is>
          <t>THE SCHEDULE AS MODELLED</t>
        </is>
      </c>
      <c r="B8" s="35" t="n">
        <v>335.84</v>
      </c>
      <c r="C8" s="35" t="n">
        <v>345.99</v>
      </c>
      <c r="D8" s="6" t="n">
        <v>357.57</v>
      </c>
      <c r="E8" s="35" t="n">
        <v>370.94</v>
      </c>
      <c r="F8" s="35" t="n">
        <v>386.59</v>
      </c>
      <c r="G8" s="35" t="n">
        <v>405.19</v>
      </c>
      <c r="H8" s="35" t="n">
        <v>427.73</v>
      </c>
    </row>
    <row r="9">
      <c r="A9" s="33" t="inlineStr">
        <is>
          <t>the schedule a point higher</t>
        </is>
      </c>
      <c r="B9" s="35" t="n">
        <v>284.56</v>
      </c>
      <c r="C9" s="35" t="n">
        <v>291.33</v>
      </c>
      <c r="D9" s="35" t="n">
        <v>298.91</v>
      </c>
      <c r="E9" s="35" t="n">
        <v>307.47</v>
      </c>
      <c r="F9" s="35" t="n">
        <v>317.23</v>
      </c>
      <c r="G9" s="35" t="n">
        <v>328.5</v>
      </c>
      <c r="H9" s="35" t="n">
        <v>341.68</v>
      </c>
    </row>
    <row r="10">
      <c r="A10" s="33" t="inlineStr">
        <is>
          <t>the schedule two points higher</t>
        </is>
      </c>
      <c r="B10" s="35" t="n">
        <v>245.07</v>
      </c>
      <c r="C10" s="35" t="n">
        <v>249.75</v>
      </c>
      <c r="D10" s="35" t="n">
        <v>254.91</v>
      </c>
      <c r="E10" s="35" t="n">
        <v>260.63</v>
      </c>
      <c r="F10" s="35" t="n">
        <v>267.03</v>
      </c>
      <c r="G10" s="35" t="n">
        <v>274.26</v>
      </c>
      <c r="H10" s="35" t="n">
        <v>282.51</v>
      </c>
    </row>
    <row r="11"/>
    <row r="12">
      <c r="A12" s="8" t="inlineStr">
        <is>
          <t>The centre cell is the model's own value. Every cell in the row the model uses clears the price on the Summary sheet; a point higher on the whole schedule with 2% perpetual growth does not.</t>
        </is>
      </c>
    </row>
    <row r="13"/>
    <row r="14">
      <c r="A14" s="3" t="inlineStr">
        <is>
          <t>2.  THE SCHEDULE, SHIFTED IN PARALLEL (down)  x  THE PACE OF THE ADDITIONS (across)</t>
        </is>
      </c>
      <c r="B14" s="4" t="n"/>
      <c r="C14" s="4" t="n"/>
      <c r="D14" s="4" t="n"/>
      <c r="E14" s="4" t="n"/>
      <c r="F14" s="4" t="n"/>
      <c r="G14" s="4" t="n"/>
      <c r="H14" s="4" t="n"/>
    </row>
    <row r="15">
      <c r="A15" s="8" t="inlineStr">
        <is>
          <t>Computed by running the copied model of record's own functions and nothing else: for each cell the rate schedule is shifted in parallel and the path is rebuilt at the pace the column names, the later taper in proportion, then the record's own valuation is run. How each cell was produced is in model-documentation.md.</t>
        </is>
      </c>
    </row>
    <row r="16">
      <c r="A16" s="5" t="inlineStr">
        <is>
          <t>schedule shift / the pace of the additions</t>
        </is>
      </c>
      <c r="B16" s="37" t="inlineStr">
        <is>
          <t>the low end of the stated pace</t>
        </is>
      </c>
      <c r="C16" s="37" t="inlineStr">
        <is>
          <t>the middle</t>
        </is>
      </c>
      <c r="D16" s="37" t="inlineStr">
        <is>
          <t>the top</t>
        </is>
      </c>
      <c r="E16" s="37" t="inlineStr">
        <is>
          <t>the first site only</t>
        </is>
      </c>
    </row>
    <row r="17">
      <c r="A17" s="33" t="inlineStr">
        <is>
          <t>the schedule two points lower</t>
        </is>
      </c>
      <c r="B17" s="35" t="n">
        <v>470.54</v>
      </c>
      <c r="C17" s="35" t="n">
        <v>558.85</v>
      </c>
      <c r="D17" s="35" t="n">
        <v>676.5700000000001</v>
      </c>
      <c r="E17" s="35" t="n">
        <v>276.23</v>
      </c>
    </row>
    <row r="18">
      <c r="A18" s="33" t="inlineStr">
        <is>
          <t>the schedule a point lower</t>
        </is>
      </c>
      <c r="B18" s="35" t="n">
        <v>370.43</v>
      </c>
      <c r="C18" s="35" t="n">
        <v>439.06</v>
      </c>
      <c r="D18" s="35" t="n">
        <v>530.54</v>
      </c>
      <c r="E18" s="35" t="n">
        <v>222.57</v>
      </c>
    </row>
    <row r="19">
      <c r="A19" s="5" t="inlineStr">
        <is>
          <t>THE SCHEDULE AS MODELLED</t>
        </is>
      </c>
      <c r="B19" s="35" t="n">
        <v>302.3</v>
      </c>
      <c r="C19" s="6" t="n">
        <v>357.57</v>
      </c>
      <c r="D19" s="35" t="n">
        <v>431.24</v>
      </c>
      <c r="E19" s="35" t="n">
        <v>185.38</v>
      </c>
    </row>
    <row r="20">
      <c r="A20" s="33" t="inlineStr">
        <is>
          <t>the schedule a point higher</t>
        </is>
      </c>
      <c r="B20" s="35" t="n">
        <v>253.24</v>
      </c>
      <c r="C20" s="35" t="n">
        <v>298.91</v>
      </c>
      <c r="D20" s="35" t="n">
        <v>359.79</v>
      </c>
      <c r="E20" s="35" t="n">
        <v>157.55</v>
      </c>
    </row>
    <row r="21">
      <c r="A21" s="33" t="inlineStr">
        <is>
          <t>the schedule two points higher</t>
        </is>
      </c>
      <c r="B21" s="35" t="n">
        <v>216.41</v>
      </c>
      <c r="C21" s="35" t="n">
        <v>254.91</v>
      </c>
      <c r="D21" s="35" t="n">
        <v>306.22</v>
      </c>
      <c r="E21" s="35" t="n">
        <v>136.46</v>
      </c>
    </row>
    <row r="22"/>
    <row r="23">
      <c r="A23" s="8" t="inlineStr">
        <is>
          <t>The middle column at the schedule as modelled is the model's own value; the last column is the market's case — the first site filled and nothing built past it.</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0"/>
  <sheetViews>
    <sheetView workbookViewId="0">
      <pane ySplit="4" topLeftCell="A5" activePane="bottomLeft" state="frozen"/>
      <selection pane="bottomLeft" activeCell="A1" sqref="A1"/>
    </sheetView>
  </sheetViews>
  <sheetFormatPr baseColWidth="8" defaultRowHeight="15" outlineLevelCol="0"/>
  <cols>
    <col width="96" customWidth="1" min="1" max="1"/>
    <col width="24" customWidth="1" min="2" max="2"/>
    <col width="26" customWidth="1" min="3" max="3"/>
    <col width="9" customWidth="1" min="4" max="4"/>
    <col width="9" customWidth="1" min="5" max="5"/>
  </cols>
  <sheetData>
    <row r="1" ht="22" customHeight="1">
      <c r="A1" s="1" t="inlineStr">
        <is>
          <t>Bloom Energy  |  Checks  |  each row fails loudly rather than quietly</t>
        </is>
      </c>
      <c r="B1" s="2" t="n"/>
      <c r="C1" s="2" t="n"/>
      <c r="D1" s="2" t="n"/>
      <c r="E1" s="2" t="n"/>
    </row>
    <row r="2"/>
    <row r="3">
      <c r="A3" s="8" t="inlineStr">
        <is>
          <t>The build computes this workbook headlessly, reads every Status below, and REFUSES TO SAVE if any of them reads FAIL. The rows marked 'build' were asserted in Python against something outside the workbook — the filed-statement archive, the research record, the note's own section 4, or the workbook's own structure — and their Status is written by the build.</t>
        </is>
      </c>
    </row>
    <row r="4">
      <c r="A4" s="3" t="inlineStr">
        <is>
          <t>Check</t>
        </is>
      </c>
      <c r="B4" s="3" t="inlineStr">
        <is>
          <t>Value</t>
        </is>
      </c>
      <c r="C4" s="3" t="inlineStr">
        <is>
          <t>Expected</t>
        </is>
      </c>
      <c r="D4" s="3" t="inlineStr">
        <is>
          <t>How</t>
        </is>
      </c>
      <c r="E4" s="3" t="inlineStr">
        <is>
          <t>Status</t>
        </is>
      </c>
    </row>
    <row r="5">
      <c r="A5" t="inlineStr">
        <is>
          <t>The Valuation sheet's value per share reproduces the model of record's, re-struck at the as-of: $357.57</t>
        </is>
      </c>
      <c r="B5" s="38">
        <f>Valuation!$B$46</f>
        <v/>
      </c>
      <c r="C5" s="38">
        <f>357.57</f>
        <v/>
      </c>
      <c r="D5" s="8" t="inlineStr">
        <is>
          <t>formula</t>
        </is>
      </c>
      <c r="E5" s="5">
        <f>IF(ABS(B5-C5)&lt;=0.01,"PASS","FAIL")</f>
        <v/>
      </c>
    </row>
    <row r="6">
      <c r="A6" t="inlineStr">
        <is>
          <t>The enterprise value reproduces the record's, re-struck at the as-of: $114,754M</t>
        </is>
      </c>
      <c r="B6" s="38">
        <f>Valuation!$B$39</f>
        <v/>
      </c>
      <c r="C6" s="38">
        <f>114754</f>
        <v/>
      </c>
      <c r="D6" s="8" t="inlineStr">
        <is>
          <t>formula</t>
        </is>
      </c>
      <c r="E6" s="5">
        <f>IF(ABS(B6-C6)&lt;=1,"PASS","FAIL")</f>
        <v/>
      </c>
    </row>
    <row r="7">
      <c r="A7" t="inlineStr">
        <is>
          <t>The count the valuation uses is 326.5M shares</t>
        </is>
      </c>
      <c r="B7" s="38">
        <f>Summary!$B$32</f>
        <v/>
      </c>
      <c r="C7" s="38">
        <f>326.5</f>
        <v/>
      </c>
      <c r="D7" s="8" t="inlineStr">
        <is>
          <t>formula</t>
        </is>
      </c>
      <c r="E7" s="5">
        <f>IF(ABS(B7-C7)&lt;=0.05,"PASS","FAIL")</f>
        <v/>
      </c>
    </row>
    <row r="8">
      <c r="A8" t="inlineStr">
        <is>
          <t>The value clears the 0% notes' $194.97 conversion price, so the closed-form count holds</t>
        </is>
      </c>
      <c r="B8" s="38">
        <f>Valuation!$B$46</f>
        <v/>
      </c>
      <c r="C8" s="38">
        <f>194.97</f>
        <v/>
      </c>
      <c r="D8" s="8" t="inlineStr">
        <is>
          <t>formula</t>
        </is>
      </c>
      <c r="E8" s="5">
        <f>IF(B8&gt;=C8,"PASS","FAIL")</f>
        <v/>
      </c>
    </row>
    <row r="9">
      <c r="A9" t="inlineStr">
        <is>
          <t>The value clears the 3% notes' $20.84 conversion price</t>
        </is>
      </c>
      <c r="B9" s="38">
        <f>Valuation!$B$46</f>
        <v/>
      </c>
      <c r="C9" s="38">
        <f>20.84</f>
        <v/>
      </c>
      <c r="D9" s="8" t="inlineStr">
        <is>
          <t>formula</t>
        </is>
      </c>
      <c r="E9" s="5">
        <f>IF(B9&gt;=C9,"PASS","FAIL")</f>
        <v/>
      </c>
    </row>
    <row r="10">
      <c r="A10" t="inlineStr">
        <is>
          <t>The equity value is the enterprise value plus the bridge, and nothing else</t>
        </is>
      </c>
      <c r="B10" s="38">
        <f>Valuation!$B$44</f>
        <v/>
      </c>
      <c r="C10" s="38">
        <f>Valuation!$B$39+Summary!$B$17</f>
        <v/>
      </c>
      <c r="D10" s="8" t="inlineStr">
        <is>
          <t>formula</t>
        </is>
      </c>
      <c r="E10" s="5">
        <f>IF(ABS(B10-C10)&lt;=0.01,"PASS","FAIL")</f>
        <v/>
      </c>
    </row>
    <row r="11">
      <c r="A11" t="inlineStr">
        <is>
          <t>The bridge is the five balance-sheet items on Summary and no sixth</t>
        </is>
      </c>
      <c r="B11" s="38">
        <f>Summary!$B$17</f>
        <v/>
      </c>
      <c r="C11" s="38">
        <f>Summary!$B$12+Summary!$B$13+Summary!$B$14+Summary!$B$15+Summary!$B$16</f>
        <v/>
      </c>
      <c r="D11" s="8" t="inlineStr">
        <is>
          <t>formula</t>
        </is>
      </c>
      <c r="E11" s="5">
        <f>IF(ABS(B11-C11)&lt;=0.01,"PASS","FAIL")</f>
        <v/>
      </c>
    </row>
    <row r="12">
      <c r="A12" t="inlineStr">
        <is>
          <t>The revenue lines sum to total revenue in every column of the Financials sheet</t>
        </is>
      </c>
      <c r="B12" s="38">
        <f>MAX(ABS(Financials!B10-Financials!B6-Financials!B7-Financials!B8-Financials!B9),ABS(Financials!C10-Financials!C6-Financials!C7-Financials!C8-Financials!C9),ABS(Financials!D10-Financials!D6-Financials!D7-Financials!D8-Financials!D9),ABS(Financials!E10-Financials!E6-Financials!E7-Financials!E8-Financials!E9),ABS(Financials!F10-Financials!F6-Financials!F7-Financials!F8-Financials!F9),ABS(Financials!G10-Financials!G6-Financials!G7-Financials!G8-Financials!G9),ABS(Financials!H10-Financials!H6-Financials!H7-Financials!H8-Financials!H9),ABS(Financials!I10-Financials!I6-Financials!I7-Financials!I8-Financials!I9),ABS(Financials!J10-Financials!J6-Financials!J7-Financials!J8-Financials!J9),ABS(Financials!K10-Financials!K6-Financials!K7-Financials!K8-Financials!K9),ABS(Financials!L10-Financials!L6-Financials!L7-Financials!L8-Financials!L9),ABS(Financials!M10-Financials!M6-Financials!M7-Financials!M8-Financials!M9),ABS(Financials!N10-Financials!N6-Financials!N7-Financials!N8-Financials!N9))</f>
        <v/>
      </c>
      <c r="C12" s="38">
        <f>0.000001</f>
        <v/>
      </c>
      <c r="D12" s="8" t="inlineStr">
        <is>
          <t>formula</t>
        </is>
      </c>
      <c r="E12" s="5">
        <f>IF(B12&lt;=C12,"PASS","FAIL")</f>
        <v/>
      </c>
    </row>
    <row r="13">
      <c r="A13" t="inlineStr">
        <is>
          <t>Gross profit is revenue less cost of revenue in every column</t>
        </is>
      </c>
      <c r="B13" s="38">
        <f>MAX(ABS(Financials!B39-Financials!B10+Financials!B32),ABS(Financials!C39-Financials!C10+Financials!C32),ABS(Financials!D39-Financials!D10+Financials!D32),ABS(Financials!E39-Financials!E10+Financials!E32),ABS(Financials!F39-Financials!F10+Financials!F32),ABS(Financials!G39-Financials!G10+Financials!G32),ABS(Financials!H39-Financials!H10+Financials!H32),ABS(Financials!I39-Financials!I10+Financials!I32),ABS(Financials!J39-Financials!J10+Financials!J32),ABS(Financials!K39-Financials!K10+Financials!K32),ABS(Financials!L39-Financials!L10+Financials!L32),ABS(Financials!M39-Financials!M10+Financials!M32),ABS(Financials!N39-Financials!N10+Financials!N32))</f>
        <v/>
      </c>
      <c r="C13" s="38">
        <f>0.000001</f>
        <v/>
      </c>
      <c r="D13" s="8" t="inlineStr">
        <is>
          <t>formula</t>
        </is>
      </c>
      <c r="E13" s="5">
        <f>IF(B13&lt;=C13,"PASS","FAIL")</f>
        <v/>
      </c>
    </row>
    <row r="14">
      <c r="A14" t="inlineStr">
        <is>
          <t>Operating profit is gross profit less operating expense and stock compensation, everywhere</t>
        </is>
      </c>
      <c r="B14" s="38">
        <f>MAX(ABS(Financials!B47-Financials!B39+Financials!B44+Financials!B45),ABS(Financials!C47-Financials!C39+Financials!C44+Financials!C45),ABS(Financials!D47-Financials!D39+Financials!D44+Financials!D45),ABS(Financials!E47-Financials!E39+Financials!E44+Financials!E45),ABS(Financials!F47-Financials!F39+Financials!F44+Financials!F45),ABS(Financials!G47-Financials!G39+Financials!G44+Financials!G45),ABS(Financials!H47-Financials!H39+Financials!H44+Financials!H45),ABS(Financials!I47-Financials!I39+Financials!I44+Financials!I45),ABS(Financials!J47-Financials!J39+Financials!J44+Financials!J45),ABS(Financials!K47-Financials!K39+Financials!K44+Financials!K45),ABS(Financials!L47-Financials!L39+Financials!L44+Financials!L45),ABS(Financials!M47-Financials!M39+Financials!M44+Financials!M45),ABS(Financials!N47-Financials!N39+Financials!N44+Financials!N45))</f>
        <v/>
      </c>
      <c r="C14" s="38">
        <f>0.000001</f>
        <v/>
      </c>
      <c r="D14" s="8" t="inlineStr">
        <is>
          <t>formula</t>
        </is>
      </c>
      <c r="E14" s="5">
        <f>IF(B14&lt;=C14,"PASS","FAIL")</f>
        <v/>
      </c>
    </row>
    <row r="15">
      <c r="A15" t="inlineStr">
        <is>
          <t>Free cash flow is one definition in every column of the Financials sheet</t>
        </is>
      </c>
      <c r="B15" s="38">
        <f>MAX(ABS(Financials!B62-Financials!B47+Financials!B50-Financials!B46+Financials!B58+Financials!B61),ABS(Financials!C62-Financials!C47+Financials!C50-Financials!C46+Financials!C58+Financials!C61),ABS(Financials!D62-Financials!D47+Financials!D50-Financials!D46+Financials!D58+Financials!D61),ABS(Financials!E62-Financials!E47+Financials!E50-Financials!E46+Financials!E58+Financials!E61),ABS(Financials!F62-Financials!F47+Financials!F50-Financials!F46+Financials!F58+Financials!F61),ABS(Financials!G62-Financials!G47+Financials!G50-Financials!G46+Financials!G58+Financials!G61),ABS(Financials!H62-Financials!H47+Financials!H50-Financials!H46+Financials!H58+Financials!H61),ABS(Financials!I62-Financials!I47+Financials!I50-Financials!I46+Financials!I58+Financials!I61),ABS(Financials!J62-Financials!J47+Financials!J50-Financials!J46+Financials!J58+Financials!J61),ABS(Financials!K62-Financials!K47+Financials!K50-Financials!K46+Financials!K58+Financials!K61),ABS(Financials!L62-Financials!L47+Financials!L50-Financials!L46+Financials!L58+Financials!L61),ABS(Financials!M62-Financials!M47+Financials!M50-Financials!M46+Financials!M58+Financials!M61),ABS(Financials!N62-Financials!N47+Financials!N50-Financials!N46+Financials!N58+Financials!N61))</f>
        <v/>
      </c>
      <c r="C15" s="38">
        <f>0.000001</f>
        <v/>
      </c>
      <c r="D15" s="8" t="inlineStr">
        <is>
          <t>formula</t>
        </is>
      </c>
      <c r="E15" s="5">
        <f>IF(B15&lt;=C15,"PASS","FAIL")</f>
        <v/>
      </c>
    </row>
    <row r="16">
      <c r="A16" t="inlineStr">
        <is>
          <t>The FY2026E column is exactly the filed half plus the estimated half</t>
        </is>
      </c>
      <c r="B16" s="38">
        <f>ABS(Financials!E10-Financials!B82-Financials!C82)+ABS(Financials!E47-Financials!B91-Financials!C91)</f>
        <v/>
      </c>
      <c r="C16" s="38">
        <f>0.000001</f>
        <v/>
      </c>
      <c r="D16" s="8" t="inlineStr">
        <is>
          <t>formula</t>
        </is>
      </c>
      <c r="E16" s="5">
        <f>IF(B16&lt;=C16,"PASS","FAIL")</f>
        <v/>
      </c>
    </row>
    <row r="17">
      <c r="A17" t="inlineStr">
        <is>
          <t>This sheet's build of the filed half reproduces its filed total revenue</t>
        </is>
      </c>
      <c r="B17" s="38">
        <f>Financials!B82</f>
        <v/>
      </c>
      <c r="C17" s="38">
        <f>Financials!B98</f>
        <v/>
      </c>
      <c r="D17" s="8" t="inlineStr">
        <is>
          <t>formula</t>
        </is>
      </c>
      <c r="E17" s="5">
        <f>IF(ABS(B17-C17)&lt;=0.000001,"PASS","FAIL")</f>
        <v/>
      </c>
    </row>
    <row r="18">
      <c r="A18" t="inlineStr">
        <is>
          <t>This sheet's build of the filed half reproduces its filed gross profit</t>
        </is>
      </c>
      <c r="B18" s="38">
        <f>Financials!B87</f>
        <v/>
      </c>
      <c r="C18" s="38">
        <f>Financials!B99</f>
        <v/>
      </c>
      <c r="D18" s="8" t="inlineStr">
        <is>
          <t>formula</t>
        </is>
      </c>
      <c r="E18" s="5">
        <f>IF(ABS(B18-C18)&lt;=0.000001,"PASS","FAIL")</f>
        <v/>
      </c>
    </row>
    <row r="19">
      <c r="A19" t="inlineStr">
        <is>
          <t>This sheet's build of the filed half reproduces its filed operating income</t>
        </is>
      </c>
      <c r="B19" s="38">
        <f>Financials!B91</f>
        <v/>
      </c>
      <c r="C19" s="38">
        <f>Financials!B100</f>
        <v/>
      </c>
      <c r="D19" s="8" t="inlineStr">
        <is>
          <t>formula</t>
        </is>
      </c>
      <c r="E19" s="5">
        <f>IF(ABS(B19-C19)&lt;=0.000001,"PASS","FAIL")</f>
        <v/>
      </c>
    </row>
    <row r="20">
      <c r="A20" t="inlineStr">
        <is>
          <t>The filed years' build reproduces the filed total revenue, all three of them</t>
        </is>
      </c>
      <c r="B20" s="38">
        <f>MAX(ABS(Financials!B10-Financials!B66),ABS(Financials!C10-Financials!C66),ABS(Financials!D10-Financials!D66))</f>
        <v/>
      </c>
      <c r="C20" s="38">
        <f>0.000001</f>
        <v/>
      </c>
      <c r="D20" s="8" t="inlineStr">
        <is>
          <t>formula</t>
        </is>
      </c>
      <c r="E20" s="5">
        <f>IF(B20&lt;=C20,"PASS","FAIL")</f>
        <v/>
      </c>
    </row>
    <row r="21">
      <c r="A21" t="inlineStr">
        <is>
          <t>The filed years' build reproduces the filed gross profit, all three of them</t>
        </is>
      </c>
      <c r="B21" s="38">
        <f>MAX(ABS(Financials!B39-Financials!B67),ABS(Financials!C39-Financials!C67),ABS(Financials!D39-Financials!D67))</f>
        <v/>
      </c>
      <c r="C21" s="38">
        <f>0.000001</f>
        <v/>
      </c>
      <c r="D21" s="8" t="inlineStr">
        <is>
          <t>formula</t>
        </is>
      </c>
      <c r="E21" s="5">
        <f>IF(B21&lt;=C21,"PASS","FAIL")</f>
        <v/>
      </c>
    </row>
    <row r="22">
      <c r="A22" t="inlineStr">
        <is>
          <t>The filed years' build reproduces the filed operating income, all three of them</t>
        </is>
      </c>
      <c r="B22" s="38">
        <f>MAX(ABS(Financials!B47-Financials!B68),ABS(Financials!C47-Financials!C68),ABS(Financials!D47-Financials!D68))</f>
        <v/>
      </c>
      <c r="C22" s="38">
        <f>0.000001</f>
        <v/>
      </c>
      <c r="D22" s="8" t="inlineStr">
        <is>
          <t>formula</t>
        </is>
      </c>
      <c r="E22" s="5">
        <f>IF(B22&lt;=C22,"PASS","FAIL")</f>
        <v/>
      </c>
    </row>
    <row r="23">
      <c r="A23" t="inlineStr">
        <is>
          <t>The valuation's 2026 flow is the SECOND half only, not the full year</t>
        </is>
      </c>
      <c r="B23" s="38">
        <f>Valuation!C6</f>
        <v/>
      </c>
      <c r="C23" s="38">
        <f>Financials!C97</f>
        <v/>
      </c>
      <c r="D23" s="8" t="inlineStr">
        <is>
          <t>formula</t>
        </is>
      </c>
      <c r="E23" s="5">
        <f>IF(ABS(B23-C23)&lt;=0.000001,"PASS","FAIL")</f>
        <v/>
      </c>
    </row>
    <row r="24">
      <c r="A24" t="inlineStr">
        <is>
          <t>The transition's first year grows at the record's own continuation rate</t>
        </is>
      </c>
      <c r="B24" s="38">
        <f>Valuation!C21</f>
        <v/>
      </c>
      <c r="C24" s="38">
        <f>Valuation!$B$16</f>
        <v/>
      </c>
      <c r="D24" s="8" t="inlineStr">
        <is>
          <t>formula</t>
        </is>
      </c>
      <c r="E24" s="5">
        <f>IF(ABS(B24-C24)&lt;=0.0000001,"PASS","FAIL")</f>
        <v/>
      </c>
    </row>
    <row r="25">
      <c r="A25" t="inlineStr">
        <is>
          <t>The transition's last year grows at the perpetuity's rate, so the perpetuity lands on a settled year rather than a still-accelerating one</t>
        </is>
      </c>
      <c r="B25" s="38">
        <f>Valuation!L21</f>
        <v/>
      </c>
      <c r="C25" s="38">
        <f>Valuation!$B$17</f>
        <v/>
      </c>
      <c r="D25" s="8" t="inlineStr">
        <is>
          <t>formula</t>
        </is>
      </c>
      <c r="E25" s="5">
        <f>IF(ABS(B25-C25)&lt;=0.0000001,"PASS","FAIL")</f>
        <v/>
      </c>
    </row>
    <row r="26">
      <c r="A26" t="inlineStr">
        <is>
          <t>The perpetuity's rate is the schedule's own last year, not a separate number</t>
        </is>
      </c>
      <c r="B26" s="38">
        <f>Valuation!$B$31</f>
        <v/>
      </c>
      <c r="C26" s="38">
        <f>Valuation!L23</f>
        <v/>
      </c>
      <c r="D26" s="8" t="inlineStr">
        <is>
          <t>formula</t>
        </is>
      </c>
      <c r="E26" s="5">
        <f>IF(ABS(B26-C26)&lt;=0.0000001,"PASS","FAIL")</f>
        <v/>
      </c>
    </row>
    <row r="27">
      <c r="A27" t="inlineStr">
        <is>
          <t>The discount factors chain: the transition opens exactly where the explicit years close</t>
        </is>
      </c>
      <c r="B27" s="38">
        <f>Valuation!C24</f>
        <v/>
      </c>
      <c r="C27" s="38">
        <f>Valuation!L10</f>
        <v/>
      </c>
      <c r="D27" s="8" t="inlineStr">
        <is>
          <t>formula</t>
        </is>
      </c>
      <c r="E27" s="5">
        <f>IF(ABS(B27-C27)&lt;=0.0000001,"PASS","FAIL")</f>
        <v/>
      </c>
    </row>
    <row r="28">
      <c r="A28" t="inlineStr">
        <is>
          <t>The enterprise value is the three present values and nothing else</t>
        </is>
      </c>
      <c r="B28" s="38">
        <f>Valuation!$B$39</f>
        <v/>
      </c>
      <c r="C28" s="38">
        <f>Valuation!$B$36+Valuation!$B$37+Valuation!$B$38</f>
        <v/>
      </c>
      <c r="D28" s="8" t="inlineStr">
        <is>
          <t>formula</t>
        </is>
      </c>
      <c r="E28" s="5">
        <f>IF(ABS(B28-C28)&lt;=0.01,"PASS","FAIL")</f>
        <v/>
      </c>
    </row>
    <row r="29">
      <c r="A29" t="inlineStr">
        <is>
          <t>Instrument B returns the same enterprise value: the exit multiple IS the later flows</t>
        </is>
      </c>
      <c r="B29" s="38">
        <f>Valuation!$B$36+Valuation!$B$49*Valuation!L10</f>
        <v/>
      </c>
      <c r="C29" s="38">
        <f>Valuation!$B$39</f>
        <v/>
      </c>
      <c r="D29" s="8" t="inlineStr">
        <is>
          <t>formula</t>
        </is>
      </c>
      <c r="E29" s="5">
        <f>IF(ABS(B29-C29)&lt;=0.01,"PASS","FAIL")</f>
        <v/>
      </c>
    </row>
    <row r="30">
      <c r="A30" t="inlineStr">
        <is>
          <t>Operating expense never falls in dollars while revenue rises</t>
        </is>
      </c>
      <c r="B30" s="38">
        <f>MIN(Financials!F44-Financials!E44,Financials!G44-Financials!F44,Financials!H44-Financials!G44,Financials!I44-Financials!H44,Financials!J44-Financials!I44,Financials!K44-Financials!J44,Financials!L44-Financials!K44,Financials!M44-Financials!L44,Financials!N44-Financials!M44)</f>
        <v/>
      </c>
      <c r="C30" s="38">
        <f>0</f>
        <v/>
      </c>
      <c r="D30" s="8" t="inlineStr">
        <is>
          <t>formula</t>
        </is>
      </c>
      <c r="E30" s="5">
        <f>IF(B30&gt;=C30,"PASS","FAIL")</f>
        <v/>
      </c>
    </row>
    <row r="31">
      <c r="A31" t="inlineStr">
        <is>
          <t>The scenario table's own path row is the value the Valuation sheet computes</t>
        </is>
      </c>
      <c r="B31" s="38">
        <f>Scenarios!$C$14</f>
        <v/>
      </c>
      <c r="C31" s="38">
        <f>ROUND(Valuation!$B$46,2)</f>
        <v/>
      </c>
      <c r="D31" s="8" t="inlineStr">
        <is>
          <t>formula</t>
        </is>
      </c>
      <c r="E31" s="5">
        <f>IF(ABS(B31-C31)&lt;=0.01,"PASS","FAIL")</f>
        <v/>
      </c>
    </row>
    <row r="32">
      <c r="A32" t="inlineStr">
        <is>
          <t>Sensitivity grid 1's centre cell is the model's own value</t>
        </is>
      </c>
      <c r="B32" s="38">
        <f>Sensitivity!$D$8</f>
        <v/>
      </c>
      <c r="C32" s="38">
        <f>ROUND(Valuation!$B$46,2)</f>
        <v/>
      </c>
      <c r="D32" s="8" t="inlineStr">
        <is>
          <t>formula</t>
        </is>
      </c>
      <c r="E32" s="5">
        <f>IF(ABS(B32-C32)&lt;=0.01,"PASS","FAIL")</f>
        <v/>
      </c>
    </row>
    <row r="33">
      <c r="A33" t="inlineStr">
        <is>
          <t>Sensitivity grid 2's centre cell is the model's own value</t>
        </is>
      </c>
      <c r="B33" s="38">
        <f>Sensitivity!$C$19</f>
        <v/>
      </c>
      <c r="C33" s="38">
        <f>ROUND(Valuation!$B$46,2)</f>
        <v/>
      </c>
      <c r="D33" s="8" t="inlineStr">
        <is>
          <t>formula</t>
        </is>
      </c>
      <c r="E33" s="5">
        <f>IF(ABS(B33-C33)&lt;=0.01,"PASS","FAIL")</f>
        <v/>
      </c>
    </row>
    <row r="34">
      <c r="A34" t="inlineStr">
        <is>
          <t>Grid 2's first-site column agrees with the scenario table's first row — the same world reached by two routes</t>
        </is>
      </c>
      <c r="B34" s="38">
        <f>Sensitivity!$E$19</f>
        <v/>
      </c>
      <c r="C34" s="38">
        <f>Scenarios!$C$5</f>
        <v/>
      </c>
      <c r="D34" s="8" t="inlineStr">
        <is>
          <t>formula</t>
        </is>
      </c>
      <c r="E34" s="5">
        <f>IF(ABS(B34-C34)&lt;=0.01,"PASS","FAIL")</f>
        <v/>
      </c>
    </row>
    <row r="35">
      <c r="A35" t="inlineStr">
        <is>
          <t>The price on Summary is below the value, so the note's direction is the model's</t>
        </is>
      </c>
      <c r="B35" s="38">
        <f>Summary!$B$6</f>
        <v/>
      </c>
      <c r="C35" s="38">
        <f>Valuation!$B$46</f>
        <v/>
      </c>
      <c r="D35" s="8" t="inlineStr">
        <is>
          <t>formula</t>
        </is>
      </c>
      <c r="E35" s="5">
        <f>IF(B35&lt;=C35,"PASS","FAIL")</f>
        <v/>
      </c>
    </row>
    <row r="36">
      <c r="A36" t="inlineStr">
        <is>
          <t>The service line is the two fleets' volumes under contract at their rates, in every forecast column and the estimated half — the model of record's own line, reproduced</t>
        </is>
      </c>
      <c r="B36" s="38">
        <f>MAX(ABS(Financials!F8-584.4),ABS(Financials!G8-1256.4),ABS(Financials!H8-2312.4),ABS(Financials!I8-3752.4),ABS(Financials!J8-5563.349999999999),ABS(Financials!K8-7758.952499999999),ABS(Financials!L8-10339.174874999999),ABS(Financials!M8-13303.98613125),ABS(Financials!N8-16581.3568246875),ABS(Financials!C75-204.882))</f>
        <v/>
      </c>
      <c r="C36" s="38">
        <f>0.000001</f>
        <v/>
      </c>
      <c r="D36" s="8" t="inlineStr">
        <is>
          <t>formula</t>
        </is>
      </c>
      <c r="E36" s="5">
        <f>IF(B36&lt;=C36,"PASS","FAIL")</f>
        <v/>
      </c>
    </row>
    <row r="37">
      <c r="A37" t="inlineStr">
        <is>
          <t>FY2023A-FY2025A and the filed half of 2026 tie to the filed statements — total revenue, gross profit, operating income and net income, against evidence/financials/</t>
        </is>
      </c>
      <c r="B37" s="8" t="inlineStr">
        <is>
          <t>15 of 15 tie</t>
        </is>
      </c>
      <c r="C37" s="8" t="inlineStr">
        <is>
          <t>every figure to $0.000001M</t>
        </is>
      </c>
      <c r="D37" s="8" t="inlineStr">
        <is>
          <t>build</t>
        </is>
      </c>
      <c r="E37" s="5" t="inlineStr">
        <is>
          <t>PASS</t>
        </is>
      </c>
    </row>
    <row r="38">
      <c r="A38" t="inlineStr">
        <is>
          <t>Every scenario value matches, to the dollar, the figure the note's section 4 carries</t>
        </is>
      </c>
      <c r="B38" s="8" t="inlineStr">
        <is>
          <t>12 of 12 match</t>
        </is>
      </c>
      <c r="C38" s="8" t="inlineStr">
        <is>
          <t>the note's own table</t>
        </is>
      </c>
      <c r="D38" s="8" t="inlineStr">
        <is>
          <t>build</t>
        </is>
      </c>
      <c r="E38" s="5" t="inlineStr">
        <is>
          <t>PASS</t>
        </is>
      </c>
    </row>
    <row r="39">
      <c r="A39" t="inlineStr">
        <is>
          <t>Grid 1 is the record's grid re-struck at the as-of: at the record's clock the pinned builder reproduces the grid the record publishes, to the dollar, and at the as-of clock this sheet's</t>
        </is>
      </c>
      <c r="B39" s="8" t="inlineStr">
        <is>
          <t>35 of 35 match at both clocks</t>
        </is>
      </c>
      <c r="C39" s="8" t="inlineStr">
        <is>
          <t>the record's own first grid</t>
        </is>
      </c>
      <c r="D39" s="8" t="inlineStr">
        <is>
          <t>build</t>
        </is>
      </c>
      <c r="E39" s="5" t="inlineStr">
        <is>
          <t>PASS</t>
        </is>
      </c>
    </row>
    <row r="40">
      <c r="A40" t="inlineStr">
        <is>
          <t>Grid 2's unshifted row reproduces the record's own cases for the same four paces</t>
        </is>
      </c>
      <c r="B40" s="8" t="inlineStr">
        <is>
          <t>4 of 4 match</t>
        </is>
      </c>
      <c r="C40" s="8" t="inlineStr">
        <is>
          <t>the record's own ladder</t>
        </is>
      </c>
      <c r="D40" s="8" t="inlineStr">
        <is>
          <t>build</t>
        </is>
      </c>
      <c r="E40" s="5" t="inlineStr">
        <is>
          <t>PASS</t>
        </is>
      </c>
    </row>
    <row r="41">
      <c r="A41" t="inlineStr">
        <is>
          <t>The record's held-input solve of the price appears nowhere in this workbook</t>
        </is>
      </c>
      <c r="B41" s="8" t="inlineStr">
        <is>
          <t>absent</t>
        </is>
      </c>
      <c r="C41" s="8" t="inlineStr">
        <is>
          <t>purged 2026-08-18</t>
        </is>
      </c>
      <c r="D41" s="8" t="inlineStr">
        <is>
          <t>build</t>
        </is>
      </c>
      <c r="E41" s="5" t="inlineStr">
        <is>
          <t>PASS</t>
        </is>
      </c>
    </row>
    <row r="42">
      <c r="A42" t="inlineStr">
        <is>
          <t>No physical driver outside the rows the test admits — the volumes and the service rates on the Financials sheet; the price per unit of power, the ratio and the plant's own limit stay in the note's prose</t>
        </is>
      </c>
      <c r="B42" s="8" t="inlineStr">
        <is>
          <t>none outside the 74 admitted cells</t>
        </is>
      </c>
      <c r="C42" s="8" t="inlineStr">
        <is>
          <t>the test of 2026-09-13</t>
        </is>
      </c>
      <c r="D42" s="8" t="inlineStr">
        <is>
          <t>build</t>
        </is>
      </c>
      <c r="E42" s="5" t="inlineStr">
        <is>
          <t>PASS</t>
        </is>
      </c>
    </row>
    <row r="43">
      <c r="A43" t="inlineStr">
        <is>
          <t>The rows beneath the service line reproduce the model of record's own service line in Python, before the workbook is computed</t>
        </is>
      </c>
      <c r="B43" s="8" t="inlineStr">
        <is>
          <t>10 of 10 tie</t>
        </is>
      </c>
      <c r="C43" s="8" t="inlineStr">
        <is>
          <t>the record's service line, to $0.000001M</t>
        </is>
      </c>
      <c r="D43" s="8" t="inlineStr">
        <is>
          <t>build</t>
        </is>
      </c>
      <c r="E43" s="5" t="inlineStr">
        <is>
          <t>PASS</t>
        </is>
      </c>
    </row>
    <row r="44">
      <c r="A44" t="inlineStr">
        <is>
          <t>No label is parsed as a formula anywhere in the workbook</t>
        </is>
      </c>
      <c r="B44" s="8" t="inlineStr">
        <is>
          <t>none</t>
        </is>
      </c>
      <c r="C44" s="8" t="inlineStr">
        <is>
          <t>modelling-practices section 2</t>
        </is>
      </c>
      <c r="D44" s="8" t="inlineStr">
        <is>
          <t>build</t>
        </is>
      </c>
      <c r="E44" s="5" t="inlineStr">
        <is>
          <t>PASS</t>
        </is>
      </c>
    </row>
    <row r="45">
      <c r="A45" t="inlineStr">
        <is>
          <t>No volatile function anywhere — the workbook cannot change on being opened</t>
        </is>
      </c>
      <c r="B45" s="8" t="inlineStr">
        <is>
          <t>none</t>
        </is>
      </c>
      <c r="C45" s="8" t="inlineStr">
        <is>
          <t>TODAY, NOW, RAND, OFFSET, INDIRECT</t>
        </is>
      </c>
      <c r="D45" s="8" t="inlineStr">
        <is>
          <t>build</t>
        </is>
      </c>
      <c r="E45" s="5" t="inlineStr">
        <is>
          <t>PASS</t>
        </is>
      </c>
    </row>
    <row r="46">
      <c r="A46" t="inlineStr">
        <is>
          <t>No rendered date past the as-of date, 2026-08-26</t>
        </is>
      </c>
      <c r="B46" s="8" t="inlineStr">
        <is>
          <t>none</t>
        </is>
      </c>
      <c r="C46" s="8" t="inlineStr">
        <is>
          <t>as-of-discipline.md</t>
        </is>
      </c>
      <c r="D46" s="8" t="inlineStr">
        <is>
          <t>build</t>
        </is>
      </c>
      <c r="E46" s="5" t="inlineStr">
        <is>
          <t>PASS</t>
        </is>
      </c>
    </row>
    <row r="47">
      <c r="A47" t="inlineStr">
        <is>
          <t>No empty column between two used ones, on any sheet</t>
        </is>
      </c>
      <c r="B47" s="8" t="inlineStr">
        <is>
          <t>none</t>
        </is>
      </c>
      <c r="C47" s="8" t="inlineStr">
        <is>
          <t>modelling-practices section 3</t>
        </is>
      </c>
      <c r="D47" s="8" t="inlineStr">
        <is>
          <t>build</t>
        </is>
      </c>
      <c r="E47" s="5" t="inlineStr">
        <is>
          <t>PASS</t>
        </is>
      </c>
    </row>
    <row r="48">
      <c r="A48" t="inlineStr">
        <is>
          <t>No merged cell anywhere — every header band is centred across selection</t>
        </is>
      </c>
      <c r="B48" s="8" t="inlineStr">
        <is>
          <t>none</t>
        </is>
      </c>
      <c r="C48" s="8" t="inlineStr">
        <is>
          <t>modelling-practices section 3</t>
        </is>
      </c>
      <c r="D48" s="8" t="inlineStr">
        <is>
          <t>build</t>
        </is>
      </c>
      <c r="E48" s="5" t="inlineStr">
        <is>
          <t>PASS</t>
        </is>
      </c>
    </row>
    <row r="49"/>
    <row r="50">
      <c r="A50" s="8" t="inlineStr">
        <is>
          <t>A check that has never failed is not evidence of correctness — it may be asserting something that cannot fail. These assert relationships, not values.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Nico Peng</dc:creator>
  <dc:title xmlns:dc="http://purl.org/dc/elements/1.1/">Bloom Energy (BE) — published model</dc:title>
  <dcterms:created xmlns:dcterms="http://purl.org/dc/terms/" xmlns:xsi="http://www.w3.org/2001/XMLSchema-instance" xsi:type="dcterms:W3CDTF">2026-08-26T00:00:00Z</dcterms:created>
  <dcterms:modified xmlns:dcterms="http://purl.org/dc/terms/" xmlns:xsi="http://www.w3.org/2001/XMLSchema-instance" xsi:type="dcterms:W3CDTF">2026-08-26T00:00:00Z</dcterms:modified>
  <cp:lastModifiedBy>Nico Peng</cp:lastModifiedBy>
</cp:coreProperties>
</file>